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05_AIF\6184_Korschenbroich\01_Fondsgesellschaft\10_Vertrieb\03_Vertriebsmaterial\08_Berechnung\"/>
    </mc:Choice>
  </mc:AlternateContent>
  <xr:revisionPtr revIDLastSave="0" documentId="13_ncr:1_{93940301-3CAC-4AF2-A4F8-F0D3D4E96DB9}" xr6:coauthVersionLast="47" xr6:coauthVersionMax="47" xr10:uidLastSave="{00000000-0000-0000-0000-000000000000}"/>
  <bookViews>
    <workbookView xWindow="-120" yWindow="-120" windowWidth="29040" windowHeight="15720" xr2:uid="{A28ED0B6-7D0A-407E-A980-D228A6A03F3A}"/>
    <workbookView xWindow="-28920" yWindow="-90" windowWidth="29040" windowHeight="15720" activeTab="1" xr2:uid="{9A048F51-589E-4731-BB4A-5933AA071443}"/>
  </bookViews>
  <sheets>
    <sheet name="PWF184" sheetId="1" r:id="rId1"/>
    <sheet name="Szenarioanalyse" sheetId="2" r:id="rId2"/>
  </sheets>
  <definedNames>
    <definedName name="\A">#REF!</definedName>
    <definedName name="__123Graph_LBL_A" hidden="1">#REF!</definedName>
    <definedName name="_1994">#REF!</definedName>
    <definedName name="_ALT11">#REF!</definedName>
    <definedName name="_ALT12">#REF!</definedName>
    <definedName name="_ALT13">#REF!</definedName>
    <definedName name="_ALT14">#REF!</definedName>
    <definedName name="_ALT15">#REF!</definedName>
    <definedName name="_ALT16">#REF!</definedName>
    <definedName name="_ALT17">#REF!</definedName>
    <definedName name="_ALT18">#REF!</definedName>
    <definedName name="_ALT19">#REF!</definedName>
    <definedName name="_ALT20">#REF!</definedName>
    <definedName name="_ALT21">#REF!</definedName>
    <definedName name="_ALT22">#REF!</definedName>
    <definedName name="_ALT23">#REF!</definedName>
    <definedName name="_ALT24">#REF!</definedName>
    <definedName name="_ALT25">#REF!</definedName>
    <definedName name="_ALT26">#REF!</definedName>
    <definedName name="_ALT27">#REF!</definedName>
    <definedName name="_ALT28">#REF!</definedName>
    <definedName name="_ALT29">#REF!</definedName>
    <definedName name="_bundesländer">#REF!</definedName>
    <definedName name="_einheiten">#REF!</definedName>
    <definedName name="_Key1" hidden="1">#REF!</definedName>
    <definedName name="_NEU10">#REF!</definedName>
    <definedName name="_NEU11">#REF!</definedName>
    <definedName name="_NEU12">#REF!</definedName>
    <definedName name="_NEU13">#REF!</definedName>
    <definedName name="_NEU14">#REF!</definedName>
    <definedName name="_NEU15">#REF!</definedName>
    <definedName name="_NEU16">#REF!</definedName>
    <definedName name="_NEU17">#REF!</definedName>
    <definedName name="_NEU18">#REF!</definedName>
    <definedName name="_NEU19">#REF!</definedName>
    <definedName name="_NEU20">#REF!</definedName>
    <definedName name="_NEU21">#REF!</definedName>
    <definedName name="_NEU22">#REF!</definedName>
    <definedName name="_NEU23">#REF!</definedName>
    <definedName name="_NEU24">#REF!</definedName>
    <definedName name="_NEU25">#REF!</definedName>
    <definedName name="_NEU26">#REF!</definedName>
    <definedName name="_NEU27">#REF!</definedName>
    <definedName name="_NEU28">#REF!</definedName>
    <definedName name="_NEU29">#REF!</definedName>
    <definedName name="_Order1" hidden="1">255</definedName>
    <definedName name="_Order2" hidden="1">255</definedName>
    <definedName name="_rundungstellen">#REF!</definedName>
    <definedName name="_Sort" hidden="1">#REF!</definedName>
    <definedName name="_Table1_In1" hidden="1">#REF!</definedName>
    <definedName name="_zuordnungBL">#REF!</definedName>
    <definedName name="a">#REF!</definedName>
    <definedName name="ab" hidden="1">#REF!</definedName>
    <definedName name="Abschr.">#REF!</definedName>
    <definedName name="Abschreibung1">#REF!</definedName>
    <definedName name="AccessDatabase" hidden="1">"O:\1000 Kapitalanlageprodukte\Fonds\Sireo Immobilienfonds No.1\Fondsmanagement\Controlling\SF1 Rechnungsdaten.mdb"</definedName>
    <definedName name="AFA">#REF!</definedName>
    <definedName name="afapa">#REF!</definedName>
    <definedName name="Altmiete_46">#REF!</definedName>
    <definedName name="Ausdruck_DESAG">#REF!</definedName>
    <definedName name="Ausdruck_FRC">#REF!</definedName>
    <definedName name="ausschüttsatz">#REF!</definedName>
    <definedName name="berechjahr">#REF!</definedName>
    <definedName name="bericht">#REF!</definedName>
    <definedName name="BIGQUESTION">#REF!</definedName>
    <definedName name="Branchenkennziffern">#REF!</definedName>
    <definedName name="Branchennamen">#REF!</definedName>
    <definedName name="bü97">#REF!</definedName>
    <definedName name="BüroI">#REF!</definedName>
    <definedName name="BüroII">#REF!</definedName>
    <definedName name="BüroIII">#REF!</definedName>
    <definedName name="BWAForm">#REF!</definedName>
    <definedName name="BWANr">#REF!</definedName>
    <definedName name="center">#REF!</definedName>
    <definedName name="CheckLH">#REF!,#REF!,#REF!</definedName>
    <definedName name="CHF">1.6</definedName>
    <definedName name="ConnectionInfo">#REF!</definedName>
    <definedName name="Currentyear">#REF!</definedName>
    <definedName name="d">#REF!</definedName>
    <definedName name="da">#REF!</definedName>
    <definedName name="dafssdfasedewr">#REF!</definedName>
    <definedName name="dag">#REF!</definedName>
    <definedName name="Darlehn_1_für_D_Ordner">#REF!</definedName>
    <definedName name="Darlehn_2_für_D_Ordner">#REF!</definedName>
    <definedName name="Date_currentyear">#REF!</definedName>
    <definedName name="Date_prioryear">#REF!</definedName>
    <definedName name="dddddddddddd">#REF!</definedName>
    <definedName name="dddddddddddddd">#REF!</definedName>
    <definedName name="ddddddddddddddd">#REF!</definedName>
    <definedName name="Deckblatt">#REF!</definedName>
    <definedName name="Detail_Anlage">#REF!</definedName>
    <definedName name="dfd">#REF!</definedName>
    <definedName name="dfgfds">#REF!</definedName>
    <definedName name="dfsa">#REF!</definedName>
    <definedName name="dfsd">#REF!</definedName>
    <definedName name="DGMG">#REF!</definedName>
    <definedName name="DRUCK">#REF!</definedName>
    <definedName name="_xlnm.Print_Area" localSheetId="0">'PWF184'!$A$1:$J$89</definedName>
    <definedName name="ds">#REF!</definedName>
    <definedName name="dsf">#REF!</definedName>
    <definedName name="ECE">#REF!</definedName>
    <definedName name="EINGABE">#REF!</definedName>
    <definedName name="ek">#REF!</definedName>
    <definedName name="ELÖHR">#REF!</definedName>
    <definedName name="ER_DGMG">#REF!</definedName>
    <definedName name="ERF">#REF!</definedName>
    <definedName name="Erfolgsrechnung">#REF!</definedName>
    <definedName name="erfolgsrechnung99">#REF!</definedName>
    <definedName name="ergverm">#REF!</definedName>
    <definedName name="EUR">1.95583</definedName>
    <definedName name="EV__LASTREFTIME__" hidden="1">40388.6850115741</definedName>
    <definedName name="faktor">#REF!</definedName>
    <definedName name="FCN">#REF!</definedName>
    <definedName name="fd">#REF!</definedName>
    <definedName name="fdes">#REF!</definedName>
    <definedName name="fdfd">#REF!</definedName>
    <definedName name="fdfdfd">#REF!</definedName>
    <definedName name="fdg">#REF!</definedName>
    <definedName name="Finanzierungsparameter" hidden="1">#REF!</definedName>
    <definedName name="Finanzplan">#REF!</definedName>
    <definedName name="Formel">" =ZELLE.ZUORDNEN(48;INDIREKT(""ZS"";0))"</definedName>
    <definedName name="FP">#REF!</definedName>
    <definedName name="FUckU">#REF!</definedName>
    <definedName name="GB_Vertrag">#REF!</definedName>
    <definedName name="gesamt">#REF!</definedName>
    <definedName name="gesamt_honorar">#REF!</definedName>
    <definedName name="Gesellschaft">#REF!</definedName>
    <definedName name="Gesellschaftskosten">#REF!</definedName>
    <definedName name="gfd">#REF!</definedName>
    <definedName name="GrErwSt">3.5%</definedName>
    <definedName name="Gründung">#REF!</definedName>
    <definedName name="Heute">#REF!</definedName>
    <definedName name="HOAI_gesamt">#REF!</definedName>
    <definedName name="Honorar" hidden="1">{#N/A,#N/A,FALSE,"Shopliste";#N/A,#N/A,FALSE,"Läden I";#N/A,#N/A,FALSE,"Läden II";#N/A,#N/A,FALSE,"Läden III";#N/A,#N/A,FALSE,"Büroflächen I";#N/A,#N/A,FALSE,"Büroflächen II";#N/A,#N/A,FALSE,"Büroflächen III";#N/A,#N/A,FALSE,"Nebenflächen I";#N/A,#N/A,FALSE,"Nebenflächen II";#N/A,#N/A,FALSE,"Nebenflächen III"}</definedName>
    <definedName name="Honorar1" hidden="1">{#N/A,#N/A,FALSE,"Shopliste";#N/A,#N/A,FALSE,"Läden I";#N/A,#N/A,FALSE,"Läden II";#N/A,#N/A,FALSE,"Läden III";#N/A,#N/A,FALSE,"Büroflächen I";#N/A,#N/A,FALSE,"Büroflächen II";#N/A,#N/A,FALSE,"Büroflächen III";#N/A,#N/A,FALSE,"Nebenflächen I";#N/A,#N/A,FALSE,"Nebenflächen II";#N/A,#N/A,FALSE,"Nebenflächen III"}</definedName>
    <definedName name="HONORARLOEHR">#REF!</definedName>
    <definedName name="hr">#REF!</definedName>
    <definedName name="INVEST">#REF!</definedName>
    <definedName name="iojp">#REF!</definedName>
    <definedName name="IS">#REF!</definedName>
    <definedName name="Jahr">#REF!</definedName>
    <definedName name="JAHR11">#REF!</definedName>
    <definedName name="JAHRALR">#REF!</definedName>
    <definedName name="JAHRALT">#REF!</definedName>
    <definedName name="Jahresnettoumsatz">#REF!</definedName>
    <definedName name="jh">#REF!</definedName>
    <definedName name="jpö">#REF!</definedName>
    <definedName name="JÜ97">#REF!</definedName>
    <definedName name="k">#REF!</definedName>
    <definedName name="kap.kto">#REF!</definedName>
    <definedName name="Kap_konto">#REF!</definedName>
    <definedName name="Kapitalkonto">#REF!</definedName>
    <definedName name="kjl">#REF!</definedName>
    <definedName name="kjljl">#REF!</definedName>
    <definedName name="KLÖHR">#REF!</definedName>
    <definedName name="Kramer">#REF!</definedName>
    <definedName name="Kramer_BÜN">#REF!</definedName>
    <definedName name="KREDITE">#REF!</definedName>
    <definedName name="LädenI">#REF!</definedName>
    <definedName name="LädenII">#REF!</definedName>
    <definedName name="LädenIII">#REF!</definedName>
    <definedName name="Langzeitplanung">#REF!</definedName>
    <definedName name="liqui">#REF!</definedName>
    <definedName name="liquidität">#REF!</definedName>
    <definedName name="Liquiditätsreserve">#REF!</definedName>
    <definedName name="lö">#REF!</definedName>
    <definedName name="LÖHR">#REF!</definedName>
    <definedName name="lul">#REF!</definedName>
    <definedName name="lzp">#REF!</definedName>
    <definedName name="Maßnahme">#REF!</definedName>
    <definedName name="MIETE">#REF!</definedName>
    <definedName name="MIETEN">#REF!</definedName>
    <definedName name="Modul3.Verteilerausdruck">#REF!</definedName>
    <definedName name="Mundsburg">#REF!</definedName>
    <definedName name="Muttermakro">#REF!</definedName>
    <definedName name="MZB_46">#REF!</definedName>
    <definedName name="MZE_46">#REF!</definedName>
    <definedName name="Nebenkosten">#REF!</definedName>
    <definedName name="neuLP">#REF!</definedName>
    <definedName name="Neumiete_46">#REF!</definedName>
    <definedName name="NewRenewal">#REF!</definedName>
    <definedName name="NFLI">#REF!</definedName>
    <definedName name="NFLII">#REF!</definedName>
    <definedName name="NFLIII">#REF!</definedName>
    <definedName name="ObjectInfo">#REF!</definedName>
    <definedName name="objekt">#REF!</definedName>
    <definedName name="objektnr">#REF!</definedName>
    <definedName name="Objektnr.">#REF!</definedName>
    <definedName name="opiu">#REF!</definedName>
    <definedName name="PI_extra">#REF!</definedName>
    <definedName name="PLAN">#REF!</definedName>
    <definedName name="Prioryear">#REF!</definedName>
    <definedName name="Projekt">#REF!</definedName>
    <definedName name="rausjahr1">#REF!</definedName>
    <definedName name="rausjahr2">#REF!</definedName>
    <definedName name="rausjahr3">#REF!</definedName>
    <definedName name="Riekbornweg">#REF!</definedName>
    <definedName name="SAPBEXhrIndnt" hidden="1">"Wide"</definedName>
    <definedName name="SAPsysID" hidden="1">"708C5W7SBKP804JT78WJ0JNKI"</definedName>
    <definedName name="SAPwbID" hidden="1">"ARS"</definedName>
    <definedName name="sd">#REF!</definedName>
    <definedName name="sda">#REF!</definedName>
    <definedName name="sdfs">#REF!</definedName>
    <definedName name="sdfsdf">#REF!</definedName>
    <definedName name="SKGslödgf">#REF!</definedName>
    <definedName name="SKR">#REF!</definedName>
    <definedName name="ssss">#REF!</definedName>
    <definedName name="sssssssssss">#REF!</definedName>
    <definedName name="Stand">#REF!</definedName>
    <definedName name="Standortsicherun">#REF!</definedName>
    <definedName name="Steuer">#REF!</definedName>
    <definedName name="steuerberater">#REF!</definedName>
    <definedName name="Steuerergebnis">#REF!</definedName>
    <definedName name="SW">#REF!</definedName>
    <definedName name="TextPersonal">#REF!</definedName>
    <definedName name="Tilgungsplan">#REF!</definedName>
    <definedName name="TPlan130">#REF!</definedName>
    <definedName name="Tranchen">#REF!</definedName>
    <definedName name="TS">#REF!</definedName>
    <definedName name="Umrechnung">#REF!</definedName>
    <definedName name="vDateTime">#REF!</definedName>
    <definedName name="vDiastolic">#REF!</definedName>
    <definedName name="Vers" hidden="1">{#N/A,#N/A,FALSE,"Shopliste";#N/A,#N/A,FALSE,"Läden I";#N/A,#N/A,FALSE,"Läden II";#N/A,#N/A,FALSE,"Läden III";#N/A,#N/A,FALSE,"Büroflächen I";#N/A,#N/A,FALSE,"Büroflächen II";#N/A,#N/A,FALSE,"Büroflächen III";#N/A,#N/A,FALSE,"Nebenflächen I";#N/A,#N/A,FALSE,"Nebenflächen II";#N/A,#N/A,FALSE,"Nebenflächen III"}</definedName>
    <definedName name="vHeartRate">#REF!</definedName>
    <definedName name="vSystolic">#REF!</definedName>
    <definedName name="Wareneinsatz">#REF!</definedName>
    <definedName name="wbjahr">#REF!</definedName>
    <definedName name="wrn.Ausdruck." hidden="1">{#N/A,#N/A,FALSE,"Shopliste";#N/A,#N/A,FALSE,"Läden I";#N/A,#N/A,FALSE,"Läden II";#N/A,#N/A,FALSE,"Läden III";#N/A,#N/A,FALSE,"Nebenflächen I";#N/A,#N/A,FALSE,"Nebenflächen II";#N/A,#N/A,FALSE,"Nebenflächen III"}</definedName>
    <definedName name="wrn.Verteilerausdruck." hidden="1">{#N/A,#N/A,FALSE,"Shopliste";#N/A,#N/A,FALSE,"Läden I";#N/A,#N/A,FALSE,"Läden II";#N/A,#N/A,FALSE,"Läden III";#N/A,#N/A,FALSE,"Büroflächen I";#N/A,#N/A,FALSE,"Büroflächen II";#N/A,#N/A,FALSE,"Büroflächen III";#N/A,#N/A,FALSE,"Nebenflächen I";#N/A,#N/A,FALSE,"Nebenflächen II";#N/A,#N/A,FALSE,"Nebenflächen III"}</definedName>
    <definedName name="xydf">#REF!</definedName>
    <definedName name="zins2">#REF!</definedName>
    <definedName name="Zinsberechnung">#REF!</definedName>
    <definedName name="zinsen">#REF!</definedName>
    <definedName name="ZINSRECHNUNG">#REF!</definedName>
    <definedName name="Zusammenfassung_für_D_Ordner">#REF!</definedName>
    <definedName name="zusatz">#REF!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2" i="2"/>
  <c r="C8" i="2" l="1"/>
  <c r="C10" i="2" s="1"/>
  <c r="O77" i="1"/>
  <c r="B60" i="1"/>
  <c r="W59" i="1"/>
  <c r="W57" i="1"/>
  <c r="V57" i="1"/>
  <c r="S57" i="1"/>
  <c r="R57" i="1"/>
  <c r="G35" i="1"/>
  <c r="M42" i="1"/>
  <c r="Q57" i="1"/>
  <c r="B30" i="1"/>
  <c r="J13" i="1"/>
  <c r="G15" i="1" s="1"/>
  <c r="G14" i="1" l="1"/>
  <c r="M41" i="1"/>
  <c r="B61" i="1"/>
  <c r="M43" i="1"/>
  <c r="B62" i="1" l="1"/>
  <c r="B63" i="1" l="1"/>
  <c r="B64" i="1" l="1"/>
  <c r="B65" i="1" l="1"/>
  <c r="B66" i="1" l="1"/>
  <c r="B67" i="1" l="1"/>
  <c r="B68" i="1" l="1"/>
  <c r="B69" i="1" l="1"/>
  <c r="B70" i="1" l="1"/>
  <c r="B71" i="1" l="1"/>
  <c r="B72" i="1" l="1"/>
  <c r="B73" i="1" l="1"/>
  <c r="B74" i="1" l="1"/>
  <c r="J30" i="1" l="1"/>
  <c r="N32" i="1" l="1"/>
  <c r="N34" i="1" s="1"/>
  <c r="J33" i="1"/>
  <c r="P14" i="1" s="1"/>
  <c r="J34" i="1"/>
  <c r="J35" i="1"/>
  <c r="J31" i="1" l="1"/>
  <c r="J17" i="1" s="1"/>
  <c r="J19" i="1" s="1"/>
  <c r="J32" i="1"/>
  <c r="G33" i="1" s="1"/>
  <c r="L17" i="1"/>
  <c r="L19" i="1"/>
  <c r="L20" i="1" s="1"/>
  <c r="L21" i="1" s="1"/>
  <c r="L22" i="1"/>
  <c r="P15" i="1"/>
  <c r="N33" i="1"/>
  <c r="N35" i="1"/>
  <c r="J20" i="1" l="1"/>
  <c r="S54" i="1" s="1"/>
  <c r="F59" i="1"/>
  <c r="G59" i="1"/>
  <c r="H59" i="1"/>
  <c r="M38" i="1"/>
  <c r="N38" i="1" s="1"/>
  <c r="J21" i="1"/>
  <c r="J22" i="1" s="1"/>
  <c r="G34" i="1"/>
  <c r="J45" i="1" s="1"/>
  <c r="W58" i="1" s="1"/>
  <c r="J44" i="1"/>
  <c r="L24" i="1"/>
  <c r="V58" i="1"/>
  <c r="V60" i="1" s="1"/>
  <c r="V61" i="1" s="1"/>
  <c r="V62" i="1" s="1"/>
  <c r="V63" i="1" s="1"/>
  <c r="V64" i="1" s="1"/>
  <c r="V65" i="1" s="1"/>
  <c r="V66" i="1" s="1"/>
  <c r="V67" i="1" s="1"/>
  <c r="V68" i="1" s="1"/>
  <c r="V69" i="1" s="1"/>
  <c r="V70" i="1" s="1"/>
  <c r="V71" i="1" s="1"/>
  <c r="V72" i="1" s="1"/>
  <c r="V73" i="1" s="1"/>
  <c r="V74" i="1" s="1"/>
  <c r="J43" i="1"/>
  <c r="G45" i="1"/>
  <c r="I59" i="1" l="1"/>
  <c r="J59" i="1" s="1"/>
  <c r="M40" i="1"/>
  <c r="N40" i="1"/>
  <c r="I8" i="2"/>
  <c r="I10" i="2" s="1"/>
  <c r="D59" i="1"/>
  <c r="D75" i="1" s="1"/>
  <c r="D77" i="1" s="1"/>
  <c r="J39" i="1"/>
  <c r="P78" i="1"/>
  <c r="P80" i="1"/>
  <c r="P77" i="1"/>
  <c r="Q58" i="1"/>
  <c r="Q60" i="1" s="1"/>
  <c r="Q61" i="1" s="1"/>
  <c r="Q62" i="1" s="1"/>
  <c r="Q63" i="1" s="1"/>
  <c r="Q64" i="1" s="1"/>
  <c r="Q65" i="1" s="1"/>
  <c r="Q66" i="1" s="1"/>
  <c r="Q67" i="1" s="1"/>
  <c r="Q68" i="1" s="1"/>
  <c r="Q69" i="1" s="1"/>
  <c r="Q70" i="1" s="1"/>
  <c r="Q71" i="1" s="1"/>
  <c r="Q72" i="1" s="1"/>
  <c r="Q73" i="1" s="1"/>
  <c r="Q74" i="1" s="1"/>
  <c r="P82" i="1" s="1"/>
  <c r="R58" i="1"/>
  <c r="S58" i="1"/>
  <c r="S60" i="1" s="1"/>
  <c r="S61" i="1" s="1"/>
  <c r="S62" i="1" s="1"/>
  <c r="S63" i="1" s="1"/>
  <c r="S64" i="1" s="1"/>
  <c r="S65" i="1" s="1"/>
  <c r="S66" i="1" s="1"/>
  <c r="S67" i="1" s="1"/>
  <c r="S68" i="1" s="1"/>
  <c r="S69" i="1" s="1"/>
  <c r="S70" i="1" s="1"/>
  <c r="S71" i="1" s="1"/>
  <c r="S72" i="1" s="1"/>
  <c r="S73" i="1" s="1"/>
  <c r="S74" i="1" s="1"/>
  <c r="P84" i="1" s="1"/>
  <c r="Q52" i="1"/>
  <c r="R52" i="1"/>
  <c r="W60" i="1"/>
  <c r="E59" i="1"/>
  <c r="E75" i="1" s="1"/>
  <c r="E77" i="1" s="1"/>
  <c r="J47" i="1"/>
  <c r="J48" i="1"/>
  <c r="G44" i="1"/>
  <c r="R60" i="1" l="1"/>
  <c r="R61" i="1" s="1"/>
  <c r="J40" i="1"/>
  <c r="G40" i="1" s="1"/>
  <c r="J41" i="1"/>
  <c r="G41" i="1" s="1"/>
  <c r="N41" i="1"/>
  <c r="N45" i="1" s="1"/>
  <c r="N42" i="1"/>
  <c r="N47" i="1" s="1"/>
  <c r="N43" i="1"/>
  <c r="S52" i="1"/>
  <c r="W61" i="1"/>
  <c r="X60" i="1"/>
  <c r="Y60" i="1" s="1"/>
  <c r="N60" i="1" s="1"/>
  <c r="H60" i="1" s="1"/>
  <c r="N48" i="1" l="1"/>
  <c r="T60" i="1"/>
  <c r="T61" i="1"/>
  <c r="R62" i="1"/>
  <c r="W62" i="1"/>
  <c r="X62" i="1" s="1"/>
  <c r="Y62" i="1" s="1"/>
  <c r="N62" i="1" s="1"/>
  <c r="H62" i="1" s="1"/>
  <c r="X61" i="1"/>
  <c r="Y61" i="1" s="1"/>
  <c r="N61" i="1" s="1"/>
  <c r="H61" i="1" s="1"/>
  <c r="M45" i="1" l="1"/>
  <c r="M47" i="1"/>
  <c r="T62" i="1"/>
  <c r="R63" i="1"/>
  <c r="W63" i="1"/>
  <c r="X63" i="1" s="1"/>
  <c r="Y63" i="1" s="1"/>
  <c r="N63" i="1" s="1"/>
  <c r="H63" i="1" s="1"/>
  <c r="T63" i="1" l="1"/>
  <c r="R64" i="1"/>
  <c r="R65" i="1" s="1"/>
  <c r="R66" i="1" s="1"/>
  <c r="T66" i="1" s="1"/>
  <c r="T65" i="1"/>
  <c r="W64" i="1"/>
  <c r="X64" i="1" s="1"/>
  <c r="Y64" i="1" s="1"/>
  <c r="N64" i="1" s="1"/>
  <c r="H64" i="1" s="1"/>
  <c r="T64" i="1" l="1"/>
  <c r="R67" i="1"/>
  <c r="R68" i="1" s="1"/>
  <c r="W65" i="1"/>
  <c r="X65" i="1" s="1"/>
  <c r="Y65" i="1" s="1"/>
  <c r="N65" i="1" s="1"/>
  <c r="H65" i="1" s="1"/>
  <c r="T67" i="1" l="1"/>
  <c r="T68" i="1"/>
  <c r="R69" i="1"/>
  <c r="T69" i="1"/>
  <c r="W66" i="1"/>
  <c r="X66" i="1" s="1"/>
  <c r="Y66" i="1" s="1"/>
  <c r="N66" i="1" s="1"/>
  <c r="H66" i="1" s="1"/>
  <c r="R70" i="1" l="1"/>
  <c r="R71" i="1" s="1"/>
  <c r="W67" i="1"/>
  <c r="T70" i="1" l="1"/>
  <c r="T71" i="1"/>
  <c r="R72" i="1"/>
  <c r="W68" i="1"/>
  <c r="X67" i="1"/>
  <c r="Y67" i="1" s="1"/>
  <c r="N67" i="1" s="1"/>
  <c r="H67" i="1" s="1"/>
  <c r="T72" i="1" l="1"/>
  <c r="R73" i="1"/>
  <c r="W69" i="1"/>
  <c r="X69" i="1" s="1"/>
  <c r="Y69" i="1" s="1"/>
  <c r="N69" i="1" s="1"/>
  <c r="H69" i="1" s="1"/>
  <c r="X68" i="1"/>
  <c r="Y68" i="1" s="1"/>
  <c r="N68" i="1" s="1"/>
  <c r="H68" i="1" s="1"/>
  <c r="R74" i="1" l="1"/>
  <c r="T74" i="1" s="1"/>
  <c r="T73" i="1"/>
  <c r="W70" i="1"/>
  <c r="X70" i="1" s="1"/>
  <c r="Y70" i="1" s="1"/>
  <c r="N70" i="1" s="1"/>
  <c r="H70" i="1" s="1"/>
  <c r="W71" i="1" l="1"/>
  <c r="W72" i="1" l="1"/>
  <c r="X72" i="1"/>
  <c r="Y72" i="1" s="1"/>
  <c r="N72" i="1" s="1"/>
  <c r="H72" i="1" s="1"/>
  <c r="X71" i="1"/>
  <c r="Y71" i="1" s="1"/>
  <c r="N71" i="1" s="1"/>
  <c r="H71" i="1" s="1"/>
  <c r="W73" i="1" l="1"/>
  <c r="X73" i="1"/>
  <c r="Y73" i="1" s="1"/>
  <c r="N73" i="1" s="1"/>
  <c r="H73" i="1" s="1"/>
  <c r="W74" i="1" l="1"/>
  <c r="P83" i="1" s="1"/>
  <c r="P85" i="1" s="1"/>
  <c r="H76" i="1" s="1"/>
  <c r="I76" i="1" s="1"/>
  <c r="J76" i="1" s="1"/>
  <c r="X74" i="1" l="1"/>
  <c r="Y74" i="1" s="1"/>
  <c r="N74" i="1" s="1"/>
  <c r="H74" i="1" s="1"/>
  <c r="H75" i="1" s="1"/>
  <c r="H77" i="1" s="1"/>
  <c r="F60" i="1"/>
  <c r="G60" i="1"/>
  <c r="O60" i="1"/>
  <c r="F61" i="1"/>
  <c r="G61" i="1"/>
  <c r="I61" i="1" s="1"/>
  <c r="J61" i="1" s="1"/>
  <c r="O61" i="1"/>
  <c r="F62" i="1"/>
  <c r="G62" i="1"/>
  <c r="I62" i="1" s="1"/>
  <c r="J62" i="1" s="1"/>
  <c r="O62" i="1"/>
  <c r="F63" i="1"/>
  <c r="G63" i="1"/>
  <c r="I63" i="1" s="1"/>
  <c r="J63" i="1" s="1"/>
  <c r="O63" i="1"/>
  <c r="F64" i="1"/>
  <c r="G64" i="1"/>
  <c r="I64" i="1" s="1"/>
  <c r="J64" i="1" s="1"/>
  <c r="O64" i="1"/>
  <c r="F65" i="1"/>
  <c r="G65" i="1"/>
  <c r="I65" i="1"/>
  <c r="J65" i="1"/>
  <c r="O65" i="1"/>
  <c r="F66" i="1"/>
  <c r="G66" i="1"/>
  <c r="I66" i="1"/>
  <c r="J66" i="1" s="1"/>
  <c r="O66" i="1"/>
  <c r="F67" i="1"/>
  <c r="G67" i="1"/>
  <c r="I67" i="1" s="1"/>
  <c r="J67" i="1" s="1"/>
  <c r="O67" i="1"/>
  <c r="F68" i="1"/>
  <c r="G68" i="1"/>
  <c r="I68" i="1"/>
  <c r="J68" i="1"/>
  <c r="O68" i="1"/>
  <c r="F69" i="1"/>
  <c r="G69" i="1"/>
  <c r="I69" i="1" s="1"/>
  <c r="J69" i="1" s="1"/>
  <c r="O69" i="1"/>
  <c r="F70" i="1"/>
  <c r="G70" i="1"/>
  <c r="I70" i="1" s="1"/>
  <c r="J70" i="1" s="1"/>
  <c r="O70" i="1"/>
  <c r="F71" i="1"/>
  <c r="G71" i="1"/>
  <c r="I71" i="1" s="1"/>
  <c r="J71" i="1" s="1"/>
  <c r="O71" i="1"/>
  <c r="F72" i="1"/>
  <c r="G72" i="1"/>
  <c r="I72" i="1" s="1"/>
  <c r="J72" i="1" s="1"/>
  <c r="O72" i="1"/>
  <c r="F73" i="1"/>
  <c r="G73" i="1"/>
  <c r="I73" i="1" s="1"/>
  <c r="J73" i="1" s="1"/>
  <c r="O73" i="1"/>
  <c r="F74" i="1"/>
  <c r="G74" i="1"/>
  <c r="I74" i="1" s="1"/>
  <c r="J74" i="1" s="1"/>
  <c r="O74" i="1"/>
  <c r="F75" i="1" l="1"/>
  <c r="G75" i="1"/>
  <c r="G77" i="1" s="1"/>
  <c r="I60" i="1"/>
  <c r="J60" i="1" l="1"/>
  <c r="J75" i="1" s="1"/>
  <c r="J77" i="1" s="1"/>
  <c r="I75" i="1"/>
  <c r="I77" i="1" s="1"/>
  <c r="P79" i="1"/>
  <c r="P81" i="1" s="1"/>
  <c r="F76" i="1" s="1"/>
  <c r="F77" i="1" s="1"/>
  <c r="I12" i="2" s="1"/>
  <c r="I14" i="2" s="1"/>
  <c r="I16" i="2" l="1"/>
  <c r="I18" i="2" s="1"/>
  <c r="F20" i="2" s="1"/>
  <c r="J79" i="1"/>
  <c r="O81" i="1"/>
</calcChain>
</file>

<file path=xl/sharedStrings.xml><?xml version="1.0" encoding="utf-8"?>
<sst xmlns="http://schemas.openxmlformats.org/spreadsheetml/2006/main" count="132" uniqueCount="105">
  <si>
    <t>§ 6b bzw. § 6c EStG-Rücklage - Musterberechnung</t>
  </si>
  <si>
    <t>Die Anteile an diesem Spezial-AIF dürfen nur von professionellen und semi-professionellen Anlegern i. S. d. § 1 Abs. 19 Nr. 32 und Nr. 33 KAGB  erworben und an diese vertrieben werden. Mindestzeichnungsbetrag 200.000 EUR; höhere Beträge müssen durch 100 ohne Rest teilbar sein.</t>
  </si>
  <si>
    <t>= Hauptrechnung</t>
  </si>
  <si>
    <t>Die nachfolgende Übersicht dient der Veranschaulichung möglicher Übertragungsbeträge einer bestehenden Rücklage auf die Fondsbeteiligung Hahn Fachmarktzentrum Korschenbroich GmbH &amp; Co. geschlossene Investment-KG (im Folgenden „AIF“). Der sogenannte § 6b-EStG-Übertragungsfaktor basiert auf den in der Wirtschaftlichkeitsberechnung des AIF getroffenen Annahmen. Detaillierte Informationen finden interessierte Anleger im Informationsdokument gemäß § 307 Absätze 1 und 2 KAGB für geschlossene inländische Spezial-AIF. Die Übertragung von Veräußerungsgewinnen oder von nach § 6b/6c EStG gebildeten Rücklagen aus Immobilienverkäufen ist in Bezug auf Gewinne aus Gebäudeveräußerungen auf einen bestimmten Prozentsatz der Anschaffungskosten limitiert. Für eine individuelle steuerliche Beurteilung sollten Anleger unbedingt ihre steuerlichen Berater hinzuziehen.</t>
  </si>
  <si>
    <t xml:space="preserve">Anleger: </t>
  </si>
  <si>
    <t>Vermittler:</t>
  </si>
  <si>
    <t xml:space="preserve">1) Daten des Anlegers </t>
  </si>
  <si>
    <t>in %</t>
  </si>
  <si>
    <t>in €</t>
  </si>
  <si>
    <t>Mindestanlage</t>
  </si>
  <si>
    <t>Persönliche § 6b EStG bzw. § 6c EStG-Rücklage</t>
  </si>
  <si>
    <t>für Auflösung</t>
  </si>
  <si>
    <t>davon aus Veräußerung Grund und Boden</t>
  </si>
  <si>
    <t>==&gt; verrechenbar mit Gewinnen aus Grund und Boden und oder Gebäude</t>
  </si>
  <si>
    <t>davon aus Veräußerung von Gebäude</t>
  </si>
  <si>
    <t>==&gt; verrechenbar mit Gewinnen aus Gebäude</t>
  </si>
  <si>
    <t>Errechneter Beteiligungsbetrag (persönliche Rücklage bemessen am § 6b EStG-Hebel des AIF)</t>
  </si>
  <si>
    <t>Beteiligungsbetrag (Kommanditeinlage)</t>
  </si>
  <si>
    <t>Mindestens benötigt zur Übertragung 6b/c auf Gebäude</t>
  </si>
  <si>
    <t xml:space="preserve">Anteil am gesamten Kommanditkapital des AIF </t>
  </si>
  <si>
    <t>gesamtpotential bei Gebäudebetrag</t>
  </si>
  <si>
    <t>Ausgabeaufschlag</t>
  </si>
  <si>
    <t>Übrig für Grund und Boden</t>
  </si>
  <si>
    <t>Anlagebetrag (Einzahlungsbetrag)</t>
  </si>
  <si>
    <t>entspricht Zeichungssumme</t>
  </si>
  <si>
    <t>Auszahlungsanspruch im AIF ab</t>
  </si>
  <si>
    <t>benötigt</t>
  </si>
  <si>
    <t>persönlicher Grenzsteuersatz</t>
  </si>
  <si>
    <t xml:space="preserve">2) Daten des geschlossenen Spezial-AIF </t>
  </si>
  <si>
    <t>§ 6b EStG-Hebel des AIF (Übertragungsfaktor)*</t>
  </si>
  <si>
    <t>Steuerliche Anschaffungskosten der mittelbar gehaltenen Immobilie</t>
  </si>
  <si>
    <t>davon angeschaffter Grund und Boden</t>
  </si>
  <si>
    <t>G+B</t>
  </si>
  <si>
    <t>davon angeschafftes Gebäude</t>
  </si>
  <si>
    <t>Geb</t>
  </si>
  <si>
    <t>davon Außenanlagen</t>
  </si>
  <si>
    <t>AA</t>
  </si>
  <si>
    <t xml:space="preserve">* für Zwecke der § 6b EStG Übertragung sind nur Kosten für "Grund und Boden" sowie " Gebäude" anrechenbar </t>
  </si>
  <si>
    <t>3) Daten zur persönlichen § 6b bzw. § 6c EStG-Rücklagenübertragung</t>
  </si>
  <si>
    <t>Anteilige maximal übertragbare persönliche § 6b bzw. § 6c EStG-Rücklage auf den AIF</t>
  </si>
  <si>
    <t xml:space="preserve">davon maximal aus der Veräußerung von Grund und Boden </t>
  </si>
  <si>
    <t>davon maximal aus der Veräußerung von Gebäude</t>
  </si>
  <si>
    <t>Maximale Reinvestition der persönlichen § 6b bzw. § 6c EStG-Rücklage</t>
  </si>
  <si>
    <t>Anteilige Reinvestition der unter 1) gegebenen persönlichen § 6b bzw. § 6c EStG-Rücklage</t>
  </si>
  <si>
    <t xml:space="preserve">Verbleibende persönliche § 6b bzw. § 6c EStG-Rücklage nach Einbringung in den AIF </t>
  </si>
  <si>
    <t>Summe</t>
  </si>
  <si>
    <r>
      <t xml:space="preserve">4) Unverbindliche Musterbetrachtung der Kapitalflüsse und der § 6b bzw. § 6c EStG-Ergänzungsbilanz </t>
    </r>
    <r>
      <rPr>
        <b/>
        <vertAlign val="superscript"/>
        <sz val="11"/>
        <color theme="1"/>
        <rFont val="Calibri"/>
        <family val="2"/>
        <scheme val="minor"/>
      </rPr>
      <t>1</t>
    </r>
  </si>
  <si>
    <r>
      <rPr>
        <b/>
        <sz val="10"/>
        <color theme="1"/>
        <rFont val="Calibri"/>
        <family val="2"/>
        <scheme val="minor"/>
      </rPr>
      <t>Warnhinweis</t>
    </r>
    <r>
      <rPr>
        <sz val="10"/>
        <color theme="1"/>
        <rFont val="Calibri"/>
        <family val="2"/>
        <scheme val="minor"/>
      </rPr>
      <t xml:space="preserve">: </t>
    </r>
    <r>
      <rPr>
        <b/>
        <sz val="10"/>
        <color theme="1"/>
        <rFont val="Calibri"/>
        <family val="2"/>
        <scheme val="minor"/>
      </rPr>
      <t>Prognosen sind kein verlässlicher Indikator für die Wertentwicklung in der Zukunft. Die Eintrittswahrscheinlichkeit der Prognosen nimmt mit fortschreitendem Zeitverlauf ab.</t>
    </r>
    <r>
      <rPr>
        <sz val="10"/>
        <color theme="1"/>
        <rFont val="Calibri"/>
        <family val="2"/>
        <scheme val="minor"/>
      </rPr>
      <t xml:space="preserve"> 
Die folgende Darstellung nimmt vereinfacht eine mögliche Einbringung der Rücklage an. Es ist keine steuerliche Beratung mit dieser Information verbunden. Die steuerlichen Auswirkungen einer Beteiligung sind von den persönlichen Verhältnissen des jeweiligen Anlegers abhängig und können künftigen Änderungen unterworen sein. Anlegern wird daher empfohlen, mit einem Steuerberater die steuerlichen Folgen einer Beteiligung zu erörtern. Dieses Informationsblatt ist weder vollständig, noch übernimmt die Emittentin eine Haftung. Darüber hinaus sind Grundlage der Berechnung  Annahmen zu Miet- und Immobilienwertentwicklung sowie den sich daraus ergebenen Bewirtschaftungserfolg des Investments. Bitte beachten Sie, dass Prognosen naturgemäß keine Garantie für die tatsächliche künftige Wertentwicklung darstellen. Maßgebliche Angaben – insbesondere zu Risiken und steuerlichen Rahmenbedingungen – enthält allein das Informationsdokument gemäß § 307 Absätze 1 und 2 KAGB für geschlossene inländische Spezial-AIF. </t>
    </r>
  </si>
  <si>
    <t>Anlagebetrag</t>
  </si>
  <si>
    <t>Steuerersparnis</t>
  </si>
  <si>
    <t>Auszahlungen</t>
  </si>
  <si>
    <t>Einkünfte aus</t>
  </si>
  <si>
    <t xml:space="preserve">Steuerergebnis aus </t>
  </si>
  <si>
    <t xml:space="preserve">Steuerlast </t>
  </si>
  <si>
    <t>Beteiligungsquote</t>
  </si>
  <si>
    <t>des Anlegers</t>
  </si>
  <si>
    <t>durch § 6b EStG</t>
  </si>
  <si>
    <t xml:space="preserve">an den </t>
  </si>
  <si>
    <t>Gesamthand</t>
  </si>
  <si>
    <t>Ergänzungsbilanz</t>
  </si>
  <si>
    <t>Gesamthand AIF und</t>
  </si>
  <si>
    <t xml:space="preserve">des Anlegers </t>
  </si>
  <si>
    <t>AfA Gebäude</t>
  </si>
  <si>
    <t>AfA</t>
  </si>
  <si>
    <t>AFA Korrektur Ergänzungsbilanz</t>
  </si>
  <si>
    <t>Reinvestment</t>
  </si>
  <si>
    <t>Anleger</t>
  </si>
  <si>
    <t>des AIF</t>
  </si>
  <si>
    <t>Grundstück</t>
  </si>
  <si>
    <t>Gebäude</t>
  </si>
  <si>
    <t>Außenanlagen</t>
  </si>
  <si>
    <t>Regel AFA</t>
  </si>
  <si>
    <t>Jahr</t>
  </si>
  <si>
    <t>in EUR</t>
  </si>
  <si>
    <t>Gesamt</t>
  </si>
  <si>
    <r>
      <t>2040</t>
    </r>
    <r>
      <rPr>
        <vertAlign val="superscript"/>
        <sz val="11"/>
        <color theme="1"/>
        <rFont val="Calibri"/>
        <family val="2"/>
        <scheme val="minor"/>
      </rPr>
      <t>2</t>
    </r>
  </si>
  <si>
    <t>Veräußerungsgewinnbesteuerung:</t>
  </si>
  <si>
    <t>Faktor</t>
  </si>
  <si>
    <t xml:space="preserve">Miete </t>
  </si>
  <si>
    <t>Anteil</t>
  </si>
  <si>
    <t>Kaufpreis</t>
  </si>
  <si>
    <t>Schulden</t>
  </si>
  <si>
    <t>Vermögen</t>
  </si>
  <si>
    <t>Erlös</t>
  </si>
  <si>
    <r>
      <rPr>
        <b/>
        <vertAlign val="superscript"/>
        <sz val="10"/>
        <color theme="1"/>
        <rFont val="Calibri"/>
        <family val="2"/>
        <scheme val="minor"/>
      </rPr>
      <t>1</t>
    </r>
    <r>
      <rPr>
        <sz val="10"/>
        <color theme="1"/>
        <rFont val="Calibri"/>
        <family val="2"/>
        <scheme val="minor"/>
      </rPr>
      <t xml:space="preserve"> Die vorstehende Berechnung ist eine unverbindliche Prognoseberechnung. Sie ist kein Vertragsbestandteil und soll dem interessierten Kapitalanleger lediglich Anhaltspunkte für wirtschaftliche und steuerliche Auswirkungen einer Beteiligung geben. </t>
    </r>
    <r>
      <rPr>
        <b/>
        <vertAlign val="superscript"/>
        <sz val="10"/>
        <color theme="1"/>
        <rFont val="Calibri"/>
        <family val="2"/>
        <scheme val="minor"/>
      </rPr>
      <t>2</t>
    </r>
    <r>
      <rPr>
        <sz val="10"/>
        <color theme="1"/>
        <rFont val="Calibri"/>
        <family val="2"/>
        <scheme val="minor"/>
      </rPr>
      <t xml:space="preserve"> Der angenommene Anteilswert im Jahre 2040 basiert im Wesentlichen auf der Schätzung der zukünftigen Mietentwicklung sowie der Annahme, dass der Wert der Immobilie im Jahre 2040 dem 17,00-­Fachen der kalkulierten Jahresnettokaltmiete des Jahres 2041 entspricht.</t>
    </r>
  </si>
  <si>
    <t>Buchwert GB</t>
  </si>
  <si>
    <t>Buchwert Ge</t>
  </si>
  <si>
    <t>Buchwert Au</t>
  </si>
  <si>
    <t>Diese Marketing-Anzeige dient allein Informationszwecken und ersetzt keine individuelle Beratung. Sie stellt insbesondere kein Angebot und keine Aufforderung zur Abgabe eines solchen Angebotes zum Kauf, Verkauf oder zur Zeichnung irgendeines Anlagetitels oder einer Finanzdienstleistung dar. Ebenso wenig handelt es sich bei dieser Marketing-Anzeige im Ganzen oder in Teilen um einen Verkaufsprospekt. Die Einzelheiten, die mit dieser Investition verbunden sind, können allein dem verbindlichen Informationsdokument gemäß § 307 Absätze 1 und 2 KAGB für geschlossene inländische Spezial-AIF inklusive etwaiger Nachträge und Aktualisierungen entnommen werden. Die Marketing-Anzeige ist nicht an die persönlichen Verhältnisse/Bedürfnisse eines Anlegers angepasst. Insofern stellen die hier enthaltenen Informationen lediglich eine Übersicht dar und dienen nicht als Grundlage einer möglichen Kauf- oder Verkaufsentscheidung eines Anlegers. Alle hierin enthaltenen tatsächlichen Angaben, Informationen und getroffenen Aussagen basieren auf Quellen, die vom Verfasser für zuverlässig erachtet wurden. Die aufgrund dieser Quellen in der vorstehenden Marketing-Anzeige geäußerten Meinungen und Prognosen stellen unverbindliche Werturteile dar, für deren Richtigkeit und Vollständigkeit keinerlei Gewähr übernommen werden kann. Prognosen sind kein verlässlicher Indikator für zukünftige Wertentwicklungen. Eine Garantie für die Aktualität und fortgeltende Richtigkeit kann daher nicht gegeben werden. Das Informationsdokument gemäß § 307 Absätze 1 und 2 KAGB sowie das separat erstellte Basisinformationsblatt erhalten Sie als deutschsprachiges Dokument kostenfrei unter oben genannter Anschrift von der DeWert Deutsche Wertinvestment GmbH sowie im Internet unter www.hahnag.de/fonds/hahn-pluswertfonds-184.</t>
  </si>
  <si>
    <t>Gewinn</t>
  </si>
  <si>
    <t>Hahn Fachmarktzentrum Korschenbroich GmbH &amp; Co. geschlossene-Investment-KG</t>
  </si>
  <si>
    <t xml:space="preserve">Kosten </t>
  </si>
  <si>
    <t>§6b Rücklage
(Veräußerungsgewinn)</t>
  </si>
  <si>
    <t>pers. Grenzsteuersatz</t>
  </si>
  <si>
    <t>Solidaritätszuschlag</t>
  </si>
  <si>
    <t>Option 1:
Versteuerung</t>
  </si>
  <si>
    <t>Option 2:
Reinvestition</t>
  </si>
  <si>
    <t>Steuerzahlung</t>
  </si>
  <si>
    <t>Reinvestition</t>
  </si>
  <si>
    <t>Nettogewinn</t>
  </si>
  <si>
    <t>Zwischenergebnis</t>
  </si>
  <si>
    <t>Vorteil Option 2</t>
  </si>
  <si>
    <t>Liquiditätsvorteil</t>
  </si>
  <si>
    <t>Auszahlungen an den Anleger</t>
  </si>
  <si>
    <t>Steuerlast des Anlegers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</si>
</sst>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sz val="14"/>
      <color theme="1"/>
      <name val="Calibri"/>
      <family val="2"/>
      <scheme val="minor"/>
    </font>
    <font>
      <sz val="10"/>
      <color rgb="FFFF0000"/>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sz val="11"/>
      <name val="Calibri"/>
      <family val="2"/>
      <scheme val="minor"/>
    </font>
    <font>
      <sz val="11"/>
      <color theme="0" tint="-0.499984740745262"/>
      <name val="Calibri"/>
      <family val="2"/>
      <scheme val="minor"/>
    </font>
    <font>
      <b/>
      <vertAlign val="superscript"/>
      <sz val="11"/>
      <color theme="1"/>
      <name val="Calibri"/>
      <family val="2"/>
      <scheme val="minor"/>
    </font>
    <font>
      <b/>
      <sz val="10"/>
      <color theme="1"/>
      <name val="Calibri"/>
      <family val="2"/>
      <scheme val="minor"/>
    </font>
    <font>
      <vertAlign val="superscript"/>
      <sz val="11"/>
      <color theme="1"/>
      <name val="Calibri"/>
      <family val="2"/>
      <scheme val="minor"/>
    </font>
    <font>
      <b/>
      <vertAlign val="superscript"/>
      <sz val="10"/>
      <color theme="1"/>
      <name val="Calibri"/>
      <family val="2"/>
      <scheme val="minor"/>
    </font>
    <font>
      <sz val="8"/>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EFFE5"/>
        <bgColor indexed="64"/>
      </patternFill>
    </fill>
    <fill>
      <patternFill patternType="solid">
        <fgColor rgb="FFFFC000"/>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2C9"/>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thin">
        <color auto="1"/>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diagonal/>
    </border>
    <border>
      <left style="thick">
        <color theme="0"/>
      </left>
      <right style="thick">
        <color theme="0"/>
      </right>
      <top/>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4" fontId="0" fillId="3" borderId="4" xfId="0" applyNumberFormat="1" applyFill="1" applyBorder="1" applyProtection="1">
      <protection locked="0"/>
    </xf>
    <xf numFmtId="4" fontId="0" fillId="3" borderId="5" xfId="0" applyNumberFormat="1" applyFill="1" applyBorder="1" applyProtection="1">
      <protection locked="0"/>
    </xf>
    <xf numFmtId="4" fontId="0" fillId="3" borderId="6" xfId="0" applyNumberFormat="1" applyFill="1" applyBorder="1" applyProtection="1">
      <protection locked="0"/>
    </xf>
    <xf numFmtId="4" fontId="0" fillId="3" borderId="8" xfId="0" applyNumberFormat="1" applyFill="1" applyBorder="1" applyProtection="1">
      <protection locked="0"/>
    </xf>
    <xf numFmtId="10" fontId="0" fillId="3" borderId="8" xfId="1" applyNumberFormat="1" applyFont="1" applyFill="1" applyBorder="1" applyProtection="1">
      <protection locked="0"/>
    </xf>
    <xf numFmtId="10" fontId="0" fillId="0" borderId="0" xfId="1" applyNumberFormat="1" applyFont="1" applyProtection="1"/>
    <xf numFmtId="10" fontId="0" fillId="2" borderId="0" xfId="1" applyNumberFormat="1" applyFont="1" applyFill="1" applyProtection="1"/>
    <xf numFmtId="10" fontId="0" fillId="0" borderId="0" xfId="1" applyNumberFormat="1" applyFont="1" applyFill="1" applyProtection="1"/>
    <xf numFmtId="0" fontId="4" fillId="0" borderId="0" xfId="0" applyFont="1"/>
    <xf numFmtId="0" fontId="5" fillId="0" borderId="0" xfId="0" applyFont="1"/>
    <xf numFmtId="0" fontId="6" fillId="0" borderId="0" xfId="0" applyFont="1" applyAlignment="1">
      <alignment horizontal="left" vertical="top"/>
    </xf>
    <xf numFmtId="0" fontId="0" fillId="2" borderId="0" xfId="0" applyFill="1"/>
    <xf numFmtId="0" fontId="0" fillId="0" borderId="0" xfId="0" quotePrefix="1"/>
    <xf numFmtId="0" fontId="0" fillId="0" borderId="0" xfId="0" applyAlignment="1">
      <alignment horizontal="left" vertical="top" wrapText="1"/>
    </xf>
    <xf numFmtId="0" fontId="3" fillId="4" borderId="0" xfId="0" applyFont="1" applyFill="1"/>
    <xf numFmtId="0" fontId="3" fillId="0" borderId="0" xfId="0" applyFont="1"/>
    <xf numFmtId="0" fontId="0" fillId="0" borderId="7" xfId="0" applyBorder="1"/>
    <xf numFmtId="0" fontId="0" fillId="0" borderId="7" xfId="0" applyBorder="1" applyAlignment="1">
      <alignment horizontal="right"/>
    </xf>
    <xf numFmtId="4" fontId="3" fillId="0" borderId="0" xfId="0" applyNumberFormat="1" applyFont="1"/>
    <xf numFmtId="0" fontId="8" fillId="0" borderId="0" xfId="0" applyFont="1"/>
    <xf numFmtId="0" fontId="2" fillId="5" borderId="0" xfId="0" quotePrefix="1" applyFont="1" applyFill="1"/>
    <xf numFmtId="4" fontId="0" fillId="0" borderId="0" xfId="0" applyNumberFormat="1"/>
    <xf numFmtId="0" fontId="9" fillId="0" borderId="0" xfId="0" applyFont="1"/>
    <xf numFmtId="4" fontId="10" fillId="0" borderId="0" xfId="0" applyNumberFormat="1" applyFont="1"/>
    <xf numFmtId="14" fontId="0" fillId="0" borderId="0" xfId="0" quotePrefix="1" applyNumberFormat="1"/>
    <xf numFmtId="0" fontId="3" fillId="0" borderId="9" xfId="0" applyFont="1" applyBorder="1"/>
    <xf numFmtId="0" fontId="0" fillId="0" borderId="9" xfId="0" applyBorder="1"/>
    <xf numFmtId="4" fontId="3" fillId="0" borderId="9" xfId="0" applyNumberFormat="1" applyFont="1" applyBorder="1"/>
    <xf numFmtId="4" fontId="3" fillId="2" borderId="0" xfId="0" applyNumberFormat="1" applyFont="1" applyFill="1"/>
    <xf numFmtId="10" fontId="0" fillId="0" borderId="0" xfId="0" applyNumberFormat="1"/>
    <xf numFmtId="0" fontId="11" fillId="0" borderId="0" xfId="0" applyFont="1"/>
    <xf numFmtId="10" fontId="11" fillId="0" borderId="0" xfId="0" applyNumberFormat="1" applyFont="1"/>
    <xf numFmtId="4" fontId="11" fillId="0" borderId="0" xfId="0" applyNumberFormat="1" applyFont="1"/>
    <xf numFmtId="0" fontId="3" fillId="6" borderId="0" xfId="0" applyFont="1" applyFill="1"/>
    <xf numFmtId="0" fontId="0" fillId="6" borderId="0" xfId="0" applyFill="1"/>
    <xf numFmtId="4" fontId="3" fillId="6" borderId="0" xfId="0" applyNumberFormat="1" applyFont="1" applyFill="1"/>
    <xf numFmtId="4" fontId="0" fillId="0" borderId="7" xfId="0" applyNumberFormat="1" applyBorder="1"/>
    <xf numFmtId="0" fontId="0" fillId="4" borderId="10" xfId="0" applyFill="1" applyBorder="1" applyAlignment="1">
      <alignment horizontal="center"/>
    </xf>
    <xf numFmtId="0" fontId="0" fillId="7" borderId="10" xfId="0" applyFill="1" applyBorder="1" applyAlignment="1">
      <alignment horizontal="center"/>
    </xf>
    <xf numFmtId="0" fontId="0" fillId="4" borderId="0" xfId="0" applyFill="1"/>
    <xf numFmtId="0" fontId="0" fillId="0" borderId="0" xfId="0" applyAlignment="1">
      <alignment horizontal="center"/>
    </xf>
    <xf numFmtId="3" fontId="0" fillId="0" borderId="0" xfId="0" applyNumberFormat="1"/>
    <xf numFmtId="3" fontId="3" fillId="4" borderId="10" xfId="0" applyNumberFormat="1" applyFont="1" applyFill="1" applyBorder="1" applyAlignment="1">
      <alignment horizontal="right"/>
    </xf>
    <xf numFmtId="3" fontId="3" fillId="7" borderId="10" xfId="0" applyNumberFormat="1" applyFont="1" applyFill="1" applyBorder="1" applyAlignment="1">
      <alignment horizontal="right"/>
    </xf>
    <xf numFmtId="3" fontId="3" fillId="2" borderId="0" xfId="0" applyNumberFormat="1" applyFont="1" applyFill="1"/>
    <xf numFmtId="3" fontId="3" fillId="4" borderId="10" xfId="0" applyNumberFormat="1" applyFont="1" applyFill="1" applyBorder="1" applyAlignment="1">
      <alignment horizontal="left"/>
    </xf>
    <xf numFmtId="0" fontId="16" fillId="0" borderId="0" xfId="0" applyFont="1" applyAlignment="1">
      <alignment horizontal="left" vertical="top" wrapText="1"/>
    </xf>
    <xf numFmtId="0" fontId="0" fillId="0" borderId="11" xfId="0" applyBorder="1"/>
    <xf numFmtId="4" fontId="0" fillId="0" borderId="11" xfId="0" applyNumberFormat="1" applyBorder="1"/>
    <xf numFmtId="0" fontId="0" fillId="0" borderId="0" xfId="0" applyAlignment="1">
      <alignment wrapText="1"/>
    </xf>
    <xf numFmtId="0" fontId="0" fillId="8" borderId="12" xfId="0" applyFill="1" applyBorder="1"/>
    <xf numFmtId="0" fontId="0" fillId="8" borderId="0" xfId="0" applyFill="1"/>
    <xf numFmtId="0" fontId="0" fillId="8" borderId="13" xfId="0" applyFill="1" applyBorder="1"/>
    <xf numFmtId="0" fontId="3" fillId="8" borderId="14" xfId="0" applyFont="1" applyFill="1" applyBorder="1" applyAlignment="1">
      <alignment wrapText="1"/>
    </xf>
    <xf numFmtId="164" fontId="3" fillId="9" borderId="15" xfId="0" applyNumberFormat="1" applyFont="1" applyFill="1" applyBorder="1"/>
    <xf numFmtId="164" fontId="3" fillId="8" borderId="0" xfId="0" applyNumberFormat="1" applyFont="1" applyFill="1"/>
    <xf numFmtId="10" fontId="0" fillId="9" borderId="13" xfId="0" applyNumberFormat="1" applyFill="1" applyBorder="1"/>
    <xf numFmtId="10" fontId="0" fillId="8" borderId="0" xfId="0" applyNumberFormat="1" applyFill="1"/>
    <xf numFmtId="0" fontId="0" fillId="8" borderId="16" xfId="0" applyFill="1" applyBorder="1"/>
    <xf numFmtId="10" fontId="0" fillId="9" borderId="17" xfId="0" applyNumberFormat="1" applyFill="1" applyBorder="1"/>
    <xf numFmtId="0" fontId="3" fillId="8" borderId="18" xfId="0" applyFont="1" applyFill="1" applyBorder="1" applyAlignment="1">
      <alignment horizontal="center" wrapText="1"/>
    </xf>
    <xf numFmtId="0" fontId="3" fillId="8" borderId="0" xfId="0" applyFont="1" applyFill="1" applyAlignment="1">
      <alignment horizontal="center"/>
    </xf>
    <xf numFmtId="164" fontId="0" fillId="8" borderId="0" xfId="0" applyNumberFormat="1" applyFill="1"/>
    <xf numFmtId="0" fontId="3" fillId="8" borderId="19" xfId="0" applyFont="1" applyFill="1" applyBorder="1"/>
    <xf numFmtId="164" fontId="3" fillId="8" borderId="20" xfId="0" applyNumberFormat="1" applyFont="1" applyFill="1" applyBorder="1"/>
    <xf numFmtId="0" fontId="3" fillId="8" borderId="0" xfId="0" applyFont="1" applyFill="1"/>
    <xf numFmtId="0" fontId="0" fillId="0" borderId="13" xfId="0" applyBorder="1"/>
    <xf numFmtId="0" fontId="0" fillId="8" borderId="7" xfId="0" applyFill="1" applyBorder="1"/>
    <xf numFmtId="0" fontId="0" fillId="8" borderId="17" xfId="0" applyFill="1" applyBorder="1"/>
    <xf numFmtId="164" fontId="0" fillId="0" borderId="0" xfId="0" applyNumberFormat="1"/>
    <xf numFmtId="0" fontId="3" fillId="4" borderId="19" xfId="0" applyFont="1" applyFill="1" applyBorder="1"/>
    <xf numFmtId="164" fontId="3" fillId="4" borderId="20" xfId="0" applyNumberFormat="1" applyFont="1" applyFill="1" applyBorder="1"/>
    <xf numFmtId="0" fontId="7" fillId="0" borderId="0" xfId="0" quotePrefix="1"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wrapText="1"/>
    </xf>
    <xf numFmtId="0" fontId="7" fillId="0" borderId="0" xfId="0" applyFont="1"/>
    <xf numFmtId="0" fontId="0" fillId="0" borderId="0" xfId="0" applyAlignment="1">
      <alignment horizontal="center"/>
    </xf>
    <xf numFmtId="0" fontId="0" fillId="0" borderId="0" xfId="0" quotePrefix="1" applyAlignment="1">
      <alignment horizontal="center"/>
    </xf>
    <xf numFmtId="0" fontId="6" fillId="0" borderId="1" xfId="0" applyFont="1"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4" borderId="0" xfId="0" applyFill="1" applyAlignment="1">
      <alignment horizont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219075</xdr:colOff>
      <xdr:row>0</xdr:row>
      <xdr:rowOff>133350</xdr:rowOff>
    </xdr:from>
    <xdr:to>
      <xdr:col>44</xdr:col>
      <xdr:colOff>43014</xdr:colOff>
      <xdr:row>2</xdr:row>
      <xdr:rowOff>273150</xdr:rowOff>
    </xdr:to>
    <xdr:pic>
      <xdr:nvPicPr>
        <xdr:cNvPr id="2" name="Grafik 1" descr="Ein Bild, das Text enthält.&#10;&#10;Automatisch generierte Beschreibung">
          <a:extLst>
            <a:ext uri="{FF2B5EF4-FFF2-40B4-BE49-F238E27FC236}">
              <a16:creationId xmlns:a16="http://schemas.microsoft.com/office/drawing/2014/main" id="{8F7B5C64-3637-4F3E-B495-2B11264EEAE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267825" y="133350"/>
          <a:ext cx="1157439" cy="67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1</xdr:row>
      <xdr:rowOff>333377</xdr:rowOff>
    </xdr:from>
    <xdr:to>
      <xdr:col>8</xdr:col>
      <xdr:colOff>781053</xdr:colOff>
      <xdr:row>4</xdr:row>
      <xdr:rowOff>152403</xdr:rowOff>
    </xdr:to>
    <xdr:sp macro="" textlink="">
      <xdr:nvSpPr>
        <xdr:cNvPr id="12" name="Pfeil: gebogen 11">
          <a:extLst>
            <a:ext uri="{FF2B5EF4-FFF2-40B4-BE49-F238E27FC236}">
              <a16:creationId xmlns:a16="http://schemas.microsoft.com/office/drawing/2014/main" id="{B6400921-AD35-4ED0-83C4-F81EE84C6D89}"/>
            </a:ext>
          </a:extLst>
        </xdr:cNvPr>
        <xdr:cNvSpPr/>
      </xdr:nvSpPr>
      <xdr:spPr>
        <a:xfrm rot="5400000">
          <a:off x="8096251" y="-219074"/>
          <a:ext cx="581026" cy="2981328"/>
        </a:xfrm>
        <a:prstGeom prst="bentArrow">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2</xdr:col>
      <xdr:colOff>466724</xdr:colOff>
      <xdr:row>1</xdr:row>
      <xdr:rowOff>314326</xdr:rowOff>
    </xdr:from>
    <xdr:to>
      <xdr:col>3</xdr:col>
      <xdr:colOff>733424</xdr:colOff>
      <xdr:row>4</xdr:row>
      <xdr:rowOff>152399</xdr:rowOff>
    </xdr:to>
    <xdr:sp macro="" textlink="">
      <xdr:nvSpPr>
        <xdr:cNvPr id="13" name="Pfeil: gebogen 12">
          <a:extLst>
            <a:ext uri="{FF2B5EF4-FFF2-40B4-BE49-F238E27FC236}">
              <a16:creationId xmlns:a16="http://schemas.microsoft.com/office/drawing/2014/main" id="{80FE39F5-5578-409C-8E13-976C0A6CEA6C}"/>
            </a:ext>
          </a:extLst>
        </xdr:cNvPr>
        <xdr:cNvSpPr/>
      </xdr:nvSpPr>
      <xdr:spPr>
        <a:xfrm rot="5400000" flipV="1">
          <a:off x="2595562" y="214313"/>
          <a:ext cx="981073" cy="1562100"/>
        </a:xfrm>
        <a:prstGeom prst="bentArrow">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2A37-237E-4E9F-A128-CDB8A8DB12CC}">
  <sheetPr>
    <tabColor rgb="FFFF0000"/>
    <pageSetUpPr fitToPage="1"/>
  </sheetPr>
  <dimension ref="B1:AR89"/>
  <sheetViews>
    <sheetView tabSelected="1" topLeftCell="A52" workbookViewId="0">
      <selection activeCell="E78" sqref="E78"/>
    </sheetView>
    <sheetView workbookViewId="1"/>
  </sheetViews>
  <sheetFormatPr baseColWidth="10" defaultRowHeight="15" outlineLevelCol="1" x14ac:dyDescent="0.25"/>
  <cols>
    <col min="1" max="1" width="1.28515625" customWidth="1"/>
    <col min="2" max="2" width="3" customWidth="1"/>
    <col min="4" max="10" width="20" customWidth="1"/>
    <col min="11" max="11" width="11.7109375" hidden="1" customWidth="1" outlineLevel="1"/>
    <col min="12" max="12" width="12.7109375" hidden="1" customWidth="1" outlineLevel="1"/>
    <col min="13" max="14" width="14.140625" hidden="1" customWidth="1" outlineLevel="1"/>
    <col min="15" max="15" width="12.7109375" hidden="1" customWidth="1" outlineLevel="1"/>
    <col min="16" max="16" width="11.42578125" hidden="1" customWidth="1" outlineLevel="1"/>
    <col min="17" max="17" width="11.7109375" hidden="1" customWidth="1" outlineLevel="1"/>
    <col min="18" max="19" width="12.7109375" hidden="1" customWidth="1" outlineLevel="1"/>
    <col min="20" max="22" width="11.42578125" hidden="1" customWidth="1" outlineLevel="1"/>
    <col min="23" max="23" width="12.7109375" hidden="1" customWidth="1" outlineLevel="1"/>
    <col min="24" max="43" width="11.42578125" hidden="1" customWidth="1" outlineLevel="1"/>
    <col min="44" max="44" width="0" hidden="1" customWidth="1" collapsed="1"/>
  </cols>
  <sheetData>
    <row r="1" spans="2:16" ht="23.25" x14ac:dyDescent="0.35">
      <c r="B1" s="9" t="s">
        <v>0</v>
      </c>
    </row>
    <row r="2" spans="2:16" ht="18.75" x14ac:dyDescent="0.3">
      <c r="B2" s="10" t="s">
        <v>90</v>
      </c>
    </row>
    <row r="3" spans="2:16" ht="30" customHeight="1" x14ac:dyDescent="0.25">
      <c r="B3" s="79" t="s">
        <v>1</v>
      </c>
      <c r="C3" s="80"/>
      <c r="D3" s="80"/>
      <c r="E3" s="80"/>
      <c r="F3" s="80"/>
      <c r="G3" s="80"/>
      <c r="H3" s="80"/>
      <c r="I3" s="81"/>
      <c r="J3" s="11"/>
      <c r="M3" s="12"/>
      <c r="N3" s="13" t="s">
        <v>2</v>
      </c>
    </row>
    <row r="4" spans="2:16" ht="5.25" customHeight="1" x14ac:dyDescent="0.25"/>
    <row r="5" spans="2:16" ht="68.25" customHeight="1" x14ac:dyDescent="0.25">
      <c r="B5" s="73" t="s">
        <v>3</v>
      </c>
      <c r="C5" s="74"/>
      <c r="D5" s="74"/>
      <c r="E5" s="74"/>
      <c r="F5" s="74"/>
      <c r="G5" s="74"/>
      <c r="H5" s="74"/>
      <c r="I5" s="74"/>
      <c r="J5" s="74"/>
      <c r="K5" s="14"/>
    </row>
    <row r="6" spans="2:16" ht="5.25" customHeight="1" x14ac:dyDescent="0.25"/>
    <row r="7" spans="2:16" x14ac:dyDescent="0.25">
      <c r="B7" t="s">
        <v>4</v>
      </c>
      <c r="G7" t="s">
        <v>5</v>
      </c>
    </row>
    <row r="8" spans="2:16" x14ac:dyDescent="0.25">
      <c r="B8" s="1"/>
      <c r="C8" s="2"/>
      <c r="D8" s="2"/>
      <c r="E8" s="3"/>
      <c r="G8" s="1"/>
      <c r="H8" s="2"/>
      <c r="I8" s="2"/>
      <c r="J8" s="3"/>
    </row>
    <row r="9" spans="2:16" ht="5.25" customHeight="1" x14ac:dyDescent="0.25"/>
    <row r="10" spans="2:16" x14ac:dyDescent="0.25">
      <c r="B10" s="15" t="s">
        <v>6</v>
      </c>
      <c r="C10" s="15"/>
      <c r="D10" s="15"/>
      <c r="E10" s="15"/>
      <c r="F10" s="15"/>
      <c r="G10" s="15"/>
      <c r="H10" s="15"/>
      <c r="I10" s="15"/>
      <c r="J10" s="15"/>
    </row>
    <row r="11" spans="2:16" ht="3.75" customHeight="1" x14ac:dyDescent="0.25">
      <c r="B11" s="16"/>
      <c r="C11" s="16"/>
      <c r="D11" s="16"/>
      <c r="E11" s="16"/>
      <c r="F11" s="16"/>
      <c r="G11" s="16"/>
      <c r="H11" s="16"/>
      <c r="I11" s="16"/>
      <c r="J11" s="16"/>
    </row>
    <row r="12" spans="2:16" x14ac:dyDescent="0.25">
      <c r="B12" s="17"/>
      <c r="C12" s="17"/>
      <c r="D12" s="17"/>
      <c r="E12" s="17"/>
      <c r="F12" s="17"/>
      <c r="G12" s="17" t="s">
        <v>7</v>
      </c>
      <c r="H12" s="17"/>
      <c r="I12" s="17"/>
      <c r="J12" s="18" t="s">
        <v>8</v>
      </c>
      <c r="P12" t="s">
        <v>9</v>
      </c>
    </row>
    <row r="13" spans="2:16" x14ac:dyDescent="0.25">
      <c r="B13" s="16" t="s">
        <v>10</v>
      </c>
      <c r="J13" s="19">
        <f>J14+J15</f>
        <v>430000</v>
      </c>
      <c r="P13" t="s">
        <v>11</v>
      </c>
    </row>
    <row r="14" spans="2:16" x14ac:dyDescent="0.25">
      <c r="C14" s="20" t="s">
        <v>12</v>
      </c>
      <c r="G14" s="6">
        <f>J14/J13</f>
        <v>0.23255813953488372</v>
      </c>
      <c r="J14" s="4">
        <v>100000</v>
      </c>
      <c r="K14" s="21" t="s">
        <v>13</v>
      </c>
      <c r="P14" s="22">
        <f>M30*(J14/J33)</f>
        <v>203158.03991180699</v>
      </c>
    </row>
    <row r="15" spans="2:16" x14ac:dyDescent="0.25">
      <c r="C15" s="20" t="s">
        <v>14</v>
      </c>
      <c r="G15" s="6">
        <f>J15/J13</f>
        <v>0.76744186046511631</v>
      </c>
      <c r="J15" s="4">
        <v>330000</v>
      </c>
      <c r="K15" s="13" t="s">
        <v>15</v>
      </c>
      <c r="P15" s="22">
        <f>M30*(J15/J34)</f>
        <v>200887.30795559892</v>
      </c>
    </row>
    <row r="16" spans="2:16" ht="5.25" customHeight="1" x14ac:dyDescent="0.25"/>
    <row r="17" spans="2:14" x14ac:dyDescent="0.25">
      <c r="B17" s="23" t="s">
        <v>16</v>
      </c>
      <c r="J17" s="24">
        <f>((((J15/M42)*(M41+M42))/J31)/(1+G21))+IF((((((J14/(M42+M41))*(M41+M42))/J31)/(1+G21))-(((((((((((J15/M42)*(M41+M42))/J31)/(1+G21))*(1+G21)*J31)-J15)/(M42+M41))*(M41+M42))/J31)/(1+G21))))&gt;0,(((((J14/(M42+M41))*(M41+M42))/J31)/(1+G21))-(((((((((((J15/M42)*(M41+M42))/J31)/(1+G21))*(1+G21)*J31)-J15)/(M42+M41))*(M41+M42))/J31)/(1+G21)))),0)</f>
        <v>201410.84359417571</v>
      </c>
      <c r="K17" s="22"/>
      <c r="L17" s="22">
        <f>(((J14/(M42+M41))*(M41+M42))/J31)/(1+G21)</f>
        <v>46839.731068412962</v>
      </c>
      <c r="N17" s="22"/>
    </row>
    <row r="18" spans="2:14" ht="5.25" customHeight="1" x14ac:dyDescent="0.25"/>
    <row r="19" spans="2:14" x14ac:dyDescent="0.25">
      <c r="B19" s="16" t="s">
        <v>17</v>
      </c>
      <c r="J19" s="4">
        <f>J17</f>
        <v>201410.84359417571</v>
      </c>
      <c r="L19" s="22">
        <f>(((J15/M42)*(M41+M42))/J31)/(1+G21)</f>
        <v>200887.30795559892</v>
      </c>
      <c r="M19" t="s">
        <v>18</v>
      </c>
    </row>
    <row r="20" spans="2:14" x14ac:dyDescent="0.25">
      <c r="C20" s="20" t="s">
        <v>19</v>
      </c>
      <c r="J20" s="6">
        <f>J19/M30</f>
        <v>2.0657522419915458E-2</v>
      </c>
      <c r="L20" s="22">
        <f>(L19*(1+G21)*J31)</f>
        <v>428882.28299643286</v>
      </c>
      <c r="M20" t="s">
        <v>20</v>
      </c>
    </row>
    <row r="21" spans="2:14" x14ac:dyDescent="0.25">
      <c r="B21" s="16" t="s">
        <v>21</v>
      </c>
      <c r="G21" s="5">
        <v>0.05</v>
      </c>
      <c r="J21" s="22">
        <f>J19*G21</f>
        <v>10070.542179708786</v>
      </c>
      <c r="L21" s="22">
        <f>L20-J15</f>
        <v>98882.282996432856</v>
      </c>
      <c r="M21" t="s">
        <v>22</v>
      </c>
    </row>
    <row r="22" spans="2:14" x14ac:dyDescent="0.25">
      <c r="B22" s="16" t="s">
        <v>23</v>
      </c>
      <c r="J22" s="22">
        <f>J19+J21</f>
        <v>211481.38577388448</v>
      </c>
      <c r="L22" s="22">
        <f>(((((((((((J15/M42)*(M41+M42))/J31)/(1+G21))*(1+G21)*J31)-J15)/(M42+M41))*(M41+M42))/J31)/(1+G21)))</f>
        <v>46316.195429836182</v>
      </c>
      <c r="M22" t="s">
        <v>24</v>
      </c>
    </row>
    <row r="23" spans="2:14" ht="6.75" customHeight="1" x14ac:dyDescent="0.25">
      <c r="K23" s="22"/>
    </row>
    <row r="24" spans="2:14" x14ac:dyDescent="0.25">
      <c r="B24" t="s">
        <v>25</v>
      </c>
      <c r="J24" s="25">
        <v>46023</v>
      </c>
      <c r="K24" s="22"/>
      <c r="L24" s="22">
        <f>((((J14/(M42+M41))*(M41+M42))/J31)/(1+G21))-(((((((((((J15/M42)*(M41+M42))/J31)/(1+G21))*(1+G21)*J31)-J15)/(M42+M41))*(M41+M42))/J31)/(1+G21)))</f>
        <v>523.53563857678091</v>
      </c>
      <c r="M24" t="s">
        <v>26</v>
      </c>
    </row>
    <row r="25" spans="2:14" x14ac:dyDescent="0.25">
      <c r="B25" s="16" t="s">
        <v>27</v>
      </c>
      <c r="J25" s="5">
        <v>0.42</v>
      </c>
      <c r="M25" s="22"/>
    </row>
    <row r="26" spans="2:14" ht="4.5" customHeight="1" x14ac:dyDescent="0.25">
      <c r="L26" s="22"/>
    </row>
    <row r="27" spans="2:14" x14ac:dyDescent="0.25">
      <c r="B27" s="15" t="s">
        <v>28</v>
      </c>
      <c r="C27" s="15"/>
      <c r="D27" s="15"/>
      <c r="E27" s="15"/>
      <c r="F27" s="15"/>
      <c r="G27" s="15"/>
      <c r="H27" s="15"/>
      <c r="I27" s="15"/>
      <c r="J27" s="15"/>
    </row>
    <row r="28" spans="2:14" ht="3.75" customHeight="1" x14ac:dyDescent="0.25">
      <c r="B28" s="16"/>
      <c r="C28" s="16"/>
      <c r="D28" s="16"/>
      <c r="E28" s="16"/>
      <c r="F28" s="16"/>
      <c r="G28" s="16"/>
      <c r="H28" s="16"/>
      <c r="I28" s="16"/>
      <c r="J28" s="16"/>
    </row>
    <row r="29" spans="2:14" x14ac:dyDescent="0.25">
      <c r="G29" s="17" t="s">
        <v>7</v>
      </c>
      <c r="H29" s="17"/>
      <c r="I29" s="17"/>
      <c r="J29" s="18" t="s">
        <v>8</v>
      </c>
    </row>
    <row r="30" spans="2:14" x14ac:dyDescent="0.25">
      <c r="B30" s="26" t="str">
        <f>CONCATENATE("Gesamtes Kommanditkapital des AIF inkl. ",G21*100," % Agio")</f>
        <v>Gesamtes Kommanditkapital des AIF inkl. 5 % Agio</v>
      </c>
      <c r="C30" s="27"/>
      <c r="D30" s="27"/>
      <c r="E30" s="27"/>
      <c r="F30" s="27"/>
      <c r="G30" s="27"/>
      <c r="H30" s="27"/>
      <c r="I30" s="27"/>
      <c r="J30" s="28">
        <f>M30*(1+G21)</f>
        <v>10237500</v>
      </c>
      <c r="M30" s="29">
        <v>9750000</v>
      </c>
    </row>
    <row r="31" spans="2:14" x14ac:dyDescent="0.25">
      <c r="B31" s="16" t="s">
        <v>29</v>
      </c>
      <c r="J31" s="6">
        <f>(J33+J34)/J30</f>
        <v>2.0332758763920489</v>
      </c>
    </row>
    <row r="32" spans="2:14" x14ac:dyDescent="0.25">
      <c r="B32" s="16" t="s">
        <v>30</v>
      </c>
      <c r="J32" s="19">
        <f>J33+J34</f>
        <v>20815661.784563601</v>
      </c>
      <c r="M32" s="29">
        <v>20651918.646720581</v>
      </c>
      <c r="N32" s="19">
        <f>M32+J30-M30</f>
        <v>21139418.646720581</v>
      </c>
    </row>
    <row r="33" spans="2:15" x14ac:dyDescent="0.25">
      <c r="C33" s="20" t="s">
        <v>31</v>
      </c>
      <c r="G33" s="30">
        <f>J33/J32</f>
        <v>0.23055809698078683</v>
      </c>
      <c r="J33" s="22">
        <f>(M32+J30-M30)*M33</f>
        <v>4799219.3684446728</v>
      </c>
      <c r="L33" t="s">
        <v>32</v>
      </c>
      <c r="M33" s="7">
        <v>0.22702702702702704</v>
      </c>
      <c r="N33" s="22">
        <f>N32*M33</f>
        <v>4799219.3684446728</v>
      </c>
    </row>
    <row r="34" spans="2:15" x14ac:dyDescent="0.25">
      <c r="C34" s="20" t="s">
        <v>33</v>
      </c>
      <c r="G34" s="30">
        <f>1-G33</f>
        <v>0.76944190301921322</v>
      </c>
      <c r="J34" s="22">
        <f>(M32+J30-M30)*M34</f>
        <v>16016442.416118927</v>
      </c>
      <c r="L34" t="s">
        <v>34</v>
      </c>
      <c r="M34" s="7">
        <v>0.75765765765765769</v>
      </c>
      <c r="N34" s="22">
        <f>N32*M34</f>
        <v>16016442.416118927</v>
      </c>
    </row>
    <row r="35" spans="2:15" x14ac:dyDescent="0.25">
      <c r="C35" s="23" t="s">
        <v>35</v>
      </c>
      <c r="D35" s="31"/>
      <c r="E35" s="31"/>
      <c r="F35" s="31"/>
      <c r="G35" s="32">
        <f>M35</f>
        <v>1.5315315315315315E-2</v>
      </c>
      <c r="H35" s="31"/>
      <c r="I35" s="31"/>
      <c r="J35" s="33">
        <f>(M32+J30-M30)*M35</f>
        <v>323756.86215698184</v>
      </c>
      <c r="L35" s="22" t="s">
        <v>36</v>
      </c>
      <c r="M35" s="7">
        <v>1.5315315315315315E-2</v>
      </c>
      <c r="N35" s="22">
        <f>N32*M35</f>
        <v>323756.86215698184</v>
      </c>
    </row>
    <row r="36" spans="2:15" x14ac:dyDescent="0.25">
      <c r="B36" s="23" t="s">
        <v>37</v>
      </c>
      <c r="C36" s="23"/>
      <c r="D36" s="31"/>
      <c r="E36" s="31"/>
      <c r="F36" s="31"/>
      <c r="G36" s="32"/>
      <c r="H36" s="31"/>
      <c r="I36" s="31"/>
      <c r="J36" s="33"/>
      <c r="N36" s="19"/>
    </row>
    <row r="37" spans="2:15" x14ac:dyDescent="0.25">
      <c r="B37" s="15" t="s">
        <v>38</v>
      </c>
      <c r="C37" s="15"/>
      <c r="D37" s="15"/>
      <c r="E37" s="15"/>
      <c r="F37" s="15"/>
      <c r="G37" s="15"/>
      <c r="H37" s="15"/>
      <c r="I37" s="15"/>
      <c r="J37" s="15"/>
    </row>
    <row r="38" spans="2:15" x14ac:dyDescent="0.25">
      <c r="G38" s="17" t="s">
        <v>7</v>
      </c>
      <c r="H38" s="17"/>
      <c r="I38" s="17"/>
      <c r="J38" s="18" t="s">
        <v>8</v>
      </c>
      <c r="M38" s="29">
        <f>J19</f>
        <v>201410.84359417571</v>
      </c>
      <c r="N38" s="6">
        <f>M38/M30</f>
        <v>2.0657522419915458E-2</v>
      </c>
      <c r="O38" s="6"/>
    </row>
    <row r="39" spans="2:15" x14ac:dyDescent="0.25">
      <c r="B39" s="26" t="s">
        <v>39</v>
      </c>
      <c r="C39" s="27"/>
      <c r="D39" s="27"/>
      <c r="E39" s="27"/>
      <c r="F39" s="27"/>
      <c r="G39" s="27"/>
      <c r="H39" s="27"/>
      <c r="I39" s="27"/>
      <c r="J39" s="28">
        <f>J22*J31</f>
        <v>429999.99999999994</v>
      </c>
      <c r="L39" s="22"/>
      <c r="O39" s="6"/>
    </row>
    <row r="40" spans="2:15" x14ac:dyDescent="0.25">
      <c r="C40" s="20" t="s">
        <v>40</v>
      </c>
      <c r="G40" s="30">
        <f>J40/J39</f>
        <v>0.2305580969807868</v>
      </c>
      <c r="J40" s="22">
        <f>J39*G33</f>
        <v>99139.981701738317</v>
      </c>
      <c r="L40" s="22"/>
      <c r="M40" s="29">
        <f>M32*N38</f>
        <v>426617.47245890048</v>
      </c>
      <c r="N40" s="19">
        <f>N32*N38</f>
        <v>436688.01463860925</v>
      </c>
      <c r="O40" s="6"/>
    </row>
    <row r="41" spans="2:15" x14ac:dyDescent="0.25">
      <c r="C41" s="20" t="s">
        <v>41</v>
      </c>
      <c r="G41" s="30">
        <f>J41/J39</f>
        <v>0.76944190301921322</v>
      </c>
      <c r="J41" s="22">
        <f>J39*G34</f>
        <v>330860.01829826162</v>
      </c>
      <c r="K41" s="22"/>
      <c r="L41" t="s">
        <v>32</v>
      </c>
      <c r="M41" s="7">
        <f>M33</f>
        <v>0.22702702702702704</v>
      </c>
      <c r="N41" s="22">
        <f>N40*M41</f>
        <v>99139.981701738317</v>
      </c>
      <c r="O41" s="6"/>
    </row>
    <row r="42" spans="2:15" x14ac:dyDescent="0.25">
      <c r="L42" t="s">
        <v>34</v>
      </c>
      <c r="M42" s="7">
        <f>M34</f>
        <v>0.75765765765765769</v>
      </c>
      <c r="N42" s="22">
        <f>N40*M42</f>
        <v>330860.01829826162</v>
      </c>
      <c r="O42" s="6"/>
    </row>
    <row r="43" spans="2:15" x14ac:dyDescent="0.25">
      <c r="B43" s="34" t="s">
        <v>42</v>
      </c>
      <c r="C43" s="35"/>
      <c r="D43" s="35"/>
      <c r="E43" s="35"/>
      <c r="F43" s="35"/>
      <c r="G43" s="35"/>
      <c r="H43" s="35"/>
      <c r="I43" s="35"/>
      <c r="J43" s="36">
        <f>J44+J45</f>
        <v>429999.99999999994</v>
      </c>
      <c r="L43" s="22" t="s">
        <v>36</v>
      </c>
      <c r="M43" s="7">
        <f>M35</f>
        <v>1.5315315315315315E-2</v>
      </c>
      <c r="N43" s="22">
        <f>N40*M43</f>
        <v>6688.0146386093311</v>
      </c>
      <c r="O43" s="6"/>
    </row>
    <row r="44" spans="2:15" x14ac:dyDescent="0.25">
      <c r="C44" s="20" t="s">
        <v>40</v>
      </c>
      <c r="G44" s="30">
        <f>J44/J43</f>
        <v>0.2305580969807868</v>
      </c>
      <c r="J44" s="22">
        <f>IF(J22*J31*G33&gt;J14,J14,J22*J31*G33)</f>
        <v>99139.981701738317</v>
      </c>
      <c r="L44" s="22"/>
      <c r="M44" s="22"/>
      <c r="N44" s="19"/>
      <c r="O44" s="6"/>
    </row>
    <row r="45" spans="2:15" x14ac:dyDescent="0.25">
      <c r="C45" s="20" t="s">
        <v>41</v>
      </c>
      <c r="G45" s="30">
        <f>J45/J43</f>
        <v>0.76944190301921322</v>
      </c>
      <c r="J45" s="22">
        <f>IF(J22*J31*G34&gt;J15+(J14-IF(J22*J31*G33&gt;J14,J14,J22*J31*G33)),J15+(J14-IF(J22*J31*G33&gt;J14,J14,J22*J31*G33)),J22*J31*G34)</f>
        <v>330860.01829826162</v>
      </c>
      <c r="L45" t="s">
        <v>32</v>
      </c>
      <c r="M45">
        <f>N45/N48</f>
        <v>0.2305580969807868</v>
      </c>
      <c r="N45" s="22">
        <f>N41</f>
        <v>99139.981701738317</v>
      </c>
      <c r="O45" s="22"/>
    </row>
    <row r="46" spans="2:15" ht="6.75" customHeight="1" x14ac:dyDescent="0.25"/>
    <row r="47" spans="2:15" x14ac:dyDescent="0.25">
      <c r="B47" s="23" t="s">
        <v>43</v>
      </c>
      <c r="J47" s="32">
        <f>J43/J13</f>
        <v>0.99999999999999989</v>
      </c>
      <c r="L47" t="s">
        <v>34</v>
      </c>
      <c r="M47">
        <f>N47/N48</f>
        <v>0.76944190301921322</v>
      </c>
      <c r="N47" s="37">
        <f>N42</f>
        <v>330860.01829826162</v>
      </c>
    </row>
    <row r="48" spans="2:15" x14ac:dyDescent="0.25">
      <c r="B48" s="23" t="s">
        <v>44</v>
      </c>
      <c r="J48" s="33">
        <f>J13-J43</f>
        <v>0</v>
      </c>
      <c r="L48" t="s">
        <v>45</v>
      </c>
      <c r="N48" s="22">
        <f>SUM(N45:N47)</f>
        <v>429999.99999999994</v>
      </c>
      <c r="O48" s="22"/>
    </row>
    <row r="49" spans="2:25" ht="6" customHeight="1" x14ac:dyDescent="0.25">
      <c r="O49" s="22"/>
    </row>
    <row r="50" spans="2:25" ht="17.25" x14ac:dyDescent="0.25">
      <c r="B50" s="15" t="s">
        <v>46</v>
      </c>
      <c r="C50" s="15"/>
      <c r="D50" s="15"/>
      <c r="E50" s="15"/>
      <c r="F50" s="15"/>
      <c r="G50" s="15"/>
      <c r="H50" s="15"/>
      <c r="I50" s="15"/>
      <c r="J50" s="15"/>
    </row>
    <row r="51" spans="2:25" ht="6.75" customHeight="1" x14ac:dyDescent="0.25">
      <c r="B51" s="20"/>
    </row>
    <row r="52" spans="2:25" ht="93.75" customHeight="1" x14ac:dyDescent="0.25">
      <c r="B52" s="73" t="s">
        <v>47</v>
      </c>
      <c r="C52" s="74"/>
      <c r="D52" s="74"/>
      <c r="E52" s="74"/>
      <c r="F52" s="74"/>
      <c r="G52" s="74"/>
      <c r="H52" s="74"/>
      <c r="I52" s="74"/>
      <c r="J52" s="74"/>
      <c r="K52" s="14"/>
      <c r="Q52">
        <f>J33*S54-Q58</f>
        <v>0</v>
      </c>
      <c r="R52">
        <f>J34*S54-R58</f>
        <v>0</v>
      </c>
      <c r="S52">
        <f>J35*S54-S58</f>
        <v>0</v>
      </c>
    </row>
    <row r="53" spans="2:25" ht="5.25" customHeight="1" x14ac:dyDescent="0.25"/>
    <row r="54" spans="2:25" x14ac:dyDescent="0.25">
      <c r="B54" s="82"/>
      <c r="C54" s="82"/>
      <c r="D54" s="38" t="s">
        <v>48</v>
      </c>
      <c r="E54" s="38" t="s">
        <v>49</v>
      </c>
      <c r="F54" s="38" t="s">
        <v>50</v>
      </c>
      <c r="G54" s="39" t="s">
        <v>51</v>
      </c>
      <c r="H54" s="39" t="s">
        <v>51</v>
      </c>
      <c r="I54" s="39" t="s">
        <v>52</v>
      </c>
      <c r="J54" s="38" t="s">
        <v>53</v>
      </c>
      <c r="Q54" t="s">
        <v>54</v>
      </c>
      <c r="S54" s="30">
        <f>J20</f>
        <v>2.0657522419915458E-2</v>
      </c>
    </row>
    <row r="55" spans="2:25" x14ac:dyDescent="0.25">
      <c r="B55" s="40"/>
      <c r="C55" s="40"/>
      <c r="D55" s="38" t="s">
        <v>55</v>
      </c>
      <c r="E55" s="38" t="s">
        <v>56</v>
      </c>
      <c r="F55" s="38" t="s">
        <v>57</v>
      </c>
      <c r="G55" s="39" t="s">
        <v>58</v>
      </c>
      <c r="H55" s="39" t="s">
        <v>59</v>
      </c>
      <c r="I55" s="39" t="s">
        <v>60</v>
      </c>
      <c r="J55" s="38" t="s">
        <v>61</v>
      </c>
      <c r="N55" t="s">
        <v>62</v>
      </c>
      <c r="Q55" t="s">
        <v>63</v>
      </c>
      <c r="V55" t="s">
        <v>64</v>
      </c>
    </row>
    <row r="56" spans="2:25" x14ac:dyDescent="0.25">
      <c r="B56" s="40"/>
      <c r="C56" s="40"/>
      <c r="D56" s="38"/>
      <c r="E56" s="38" t="s">
        <v>65</v>
      </c>
      <c r="F56" s="38" t="s">
        <v>66</v>
      </c>
      <c r="G56" s="39" t="s">
        <v>67</v>
      </c>
      <c r="H56" s="39" t="s">
        <v>55</v>
      </c>
      <c r="I56" s="39" t="s">
        <v>59</v>
      </c>
      <c r="J56" s="38"/>
      <c r="N56" s="22"/>
      <c r="Q56" s="41" t="s">
        <v>68</v>
      </c>
      <c r="R56" s="41" t="s">
        <v>69</v>
      </c>
      <c r="S56" s="41" t="s">
        <v>70</v>
      </c>
      <c r="T56" s="41" t="s">
        <v>71</v>
      </c>
      <c r="V56" s="41" t="s">
        <v>68</v>
      </c>
      <c r="W56" s="41" t="s">
        <v>69</v>
      </c>
      <c r="X56" s="41" t="s">
        <v>63</v>
      </c>
    </row>
    <row r="57" spans="2:25" x14ac:dyDescent="0.25">
      <c r="B57" s="40"/>
      <c r="C57" s="40"/>
      <c r="D57" s="38"/>
      <c r="E57" s="38"/>
      <c r="F57" s="38"/>
      <c r="G57" s="39"/>
      <c r="H57" s="39"/>
      <c r="I57" s="39"/>
      <c r="J57" s="38"/>
      <c r="N57" s="7"/>
      <c r="Q57" s="30">
        <f>M33</f>
        <v>0.22702702702702704</v>
      </c>
      <c r="R57" s="30">
        <f>M34</f>
        <v>0.75765765765765769</v>
      </c>
      <c r="S57" s="30">
        <f>M35</f>
        <v>1.5315315315315315E-2</v>
      </c>
      <c r="T57" s="41" t="s">
        <v>63</v>
      </c>
      <c r="V57" s="30">
        <f>R33</f>
        <v>0</v>
      </c>
      <c r="W57" s="30">
        <f>R34</f>
        <v>0</v>
      </c>
    </row>
    <row r="58" spans="2:25" x14ac:dyDescent="0.25">
      <c r="B58" s="82" t="s">
        <v>72</v>
      </c>
      <c r="C58" s="82"/>
      <c r="D58" s="38" t="s">
        <v>73</v>
      </c>
      <c r="E58" s="38" t="s">
        <v>73</v>
      </c>
      <c r="F58" s="38" t="s">
        <v>73</v>
      </c>
      <c r="G58" s="39" t="s">
        <v>73</v>
      </c>
      <c r="H58" s="39" t="s">
        <v>73</v>
      </c>
      <c r="I58" s="39" t="s">
        <v>73</v>
      </c>
      <c r="J58" s="38" t="s">
        <v>73</v>
      </c>
      <c r="N58" s="22"/>
      <c r="Q58" s="22">
        <f>(M32+J30-M30)*M33*S54</f>
        <v>99139.981701738332</v>
      </c>
      <c r="R58" s="22">
        <f>(M32+J30-M30)*M34*S54</f>
        <v>330860.01829826162</v>
      </c>
      <c r="S58" s="22">
        <f>(M32+J30-M30)*M35*S54</f>
        <v>6688.0146386093311</v>
      </c>
      <c r="V58" s="22">
        <f>J44</f>
        <v>99139.981701738317</v>
      </c>
      <c r="W58" s="22">
        <f>J45</f>
        <v>330860.01829826162</v>
      </c>
    </row>
    <row r="59" spans="2:25" x14ac:dyDescent="0.25">
      <c r="B59" s="77">
        <v>2025</v>
      </c>
      <c r="C59" s="77"/>
      <c r="D59" s="42">
        <f>-J22</f>
        <v>-211481.38577388448</v>
      </c>
      <c r="E59" s="42">
        <f>J43*($J$25*1.055)</f>
        <v>190532.99999999994</v>
      </c>
      <c r="F59" s="42">
        <f>$J$19*L59</f>
        <v>0</v>
      </c>
      <c r="G59" s="42">
        <f>$J$19*M59</f>
        <v>0</v>
      </c>
      <c r="H59" s="42">
        <f t="shared" ref="H59" si="0">$J$19*O59</f>
        <v>0</v>
      </c>
      <c r="I59" s="42">
        <f>G59+H59</f>
        <v>0</v>
      </c>
      <c r="J59" s="42">
        <f>-I59*($J$25*1.055)</f>
        <v>0</v>
      </c>
      <c r="L59" s="7"/>
      <c r="M59" s="7"/>
      <c r="N59" s="8"/>
      <c r="O59" s="7"/>
      <c r="R59" s="7">
        <v>0.02</v>
      </c>
      <c r="S59" s="7">
        <v>6.6666666666666666E-2</v>
      </c>
      <c r="W59" s="7">
        <f>R59</f>
        <v>0.02</v>
      </c>
    </row>
    <row r="60" spans="2:25" x14ac:dyDescent="0.25">
      <c r="B60" s="77">
        <f>B59+1</f>
        <v>2026</v>
      </c>
      <c r="C60" s="77"/>
      <c r="F60" s="42">
        <f>$J$19*L60</f>
        <v>6042.325307825271</v>
      </c>
      <c r="G60" s="42">
        <f>$J$19*M60</f>
        <v>-451.85901789110989</v>
      </c>
      <c r="H60" s="42">
        <f>$J$19*N60</f>
        <v>6617.2003659652546</v>
      </c>
      <c r="I60" s="42">
        <f>G60+H60</f>
        <v>6165.3413480741447</v>
      </c>
      <c r="J60" s="42">
        <f>-I60*($J$25*1.055)</f>
        <v>-2731.8627513316533</v>
      </c>
      <c r="K60" s="42"/>
      <c r="L60" s="7">
        <v>0.03</v>
      </c>
      <c r="M60" s="7">
        <v>-2.2434691689269927E-3</v>
      </c>
      <c r="N60" s="8">
        <f>Y60</f>
        <v>3.2854240853577396E-2</v>
      </c>
      <c r="O60" s="7">
        <f>M60+N60</f>
        <v>3.0610771684650404E-2</v>
      </c>
      <c r="Q60" s="22">
        <f>Q58</f>
        <v>99139.981701738332</v>
      </c>
      <c r="R60" s="22">
        <f>IF(R58-$R$58*$R$59&lt;0,0,R58-$R$58*$R$59)</f>
        <v>324242.81793229637</v>
      </c>
      <c r="S60" s="22">
        <f>IF(S58-$S$58*$S$59&lt;0,0,S58-$S$58*$S$59)</f>
        <v>6242.1469960353761</v>
      </c>
      <c r="T60" s="22">
        <f>R58+S58-R60-S60</f>
        <v>7063.0680085391896</v>
      </c>
      <c r="V60" s="22">
        <f>V58</f>
        <v>99139.981701738317</v>
      </c>
      <c r="W60" s="22">
        <f>IF(W58-$W$58*$W$59&lt;0,0,W58-$W$58*$W$59)</f>
        <v>324242.81793229637</v>
      </c>
      <c r="X60" s="22">
        <f>W58-W60</f>
        <v>6617.2003659652546</v>
      </c>
      <c r="Y60" s="8">
        <f>X60/$J$19</f>
        <v>3.2854240853577396E-2</v>
      </c>
    </row>
    <row r="61" spans="2:25" x14ac:dyDescent="0.25">
      <c r="B61" s="77">
        <f t="shared" ref="B61:B74" si="1">B60+1</f>
        <v>2027</v>
      </c>
      <c r="C61" s="77"/>
      <c r="F61" s="42">
        <f t="shared" ref="F61:H74" si="2">$J$19*L61</f>
        <v>6042.325307825271</v>
      </c>
      <c r="G61" s="42">
        <f t="shared" si="2"/>
        <v>889.86364725010037</v>
      </c>
      <c r="H61" s="42">
        <f t="shared" si="2"/>
        <v>6617.2003659652546</v>
      </c>
      <c r="I61" s="42">
        <f t="shared" ref="I61:I74" si="3">G61+H61</f>
        <v>7507.0640132153549</v>
      </c>
      <c r="J61" s="42">
        <f t="shared" ref="J61:J74" si="4">-I61*($J$25*1.055)</f>
        <v>-3326.3800642557235</v>
      </c>
      <c r="K61" s="42"/>
      <c r="L61" s="7">
        <v>0.03</v>
      </c>
      <c r="M61" s="7">
        <v>4.418151631612713E-3</v>
      </c>
      <c r="N61" s="8">
        <f>Y61</f>
        <v>3.2854240853577396E-2</v>
      </c>
      <c r="O61" s="7">
        <f t="shared" ref="O61:O74" si="5">M61+N61</f>
        <v>3.7272392485190112E-2</v>
      </c>
      <c r="Q61" s="22">
        <f>Q60</f>
        <v>99139.981701738332</v>
      </c>
      <c r="R61" s="22">
        <f>IF(R60-$R$58*$R$59&lt;0,0,R60-$R$58*$R$59)</f>
        <v>317625.61756633112</v>
      </c>
      <c r="S61" s="22">
        <f>IF(S60-$S$58*$S$59&lt;0,0,S60-$S$58*$S$59)</f>
        <v>5796.2793534614211</v>
      </c>
      <c r="T61" s="22">
        <f>R60+S60-R61-S61</f>
        <v>7063.0680085391905</v>
      </c>
      <c r="V61" s="22">
        <f>V60</f>
        <v>99139.981701738317</v>
      </c>
      <c r="W61" s="22">
        <f>IF(W60-$W$58*$W$59&lt;0,0,W60-$W$58*$W$59)</f>
        <v>317625.61756633112</v>
      </c>
      <c r="X61" s="22">
        <f>W60-W61</f>
        <v>6617.2003659652546</v>
      </c>
      <c r="Y61" s="8">
        <f t="shared" ref="Y61:Y74" si="6">X61/$J$19</f>
        <v>3.2854240853577396E-2</v>
      </c>
    </row>
    <row r="62" spans="2:25" x14ac:dyDescent="0.25">
      <c r="B62" s="77">
        <f t="shared" si="1"/>
        <v>2028</v>
      </c>
      <c r="C62" s="77"/>
      <c r="F62" s="42">
        <f t="shared" si="2"/>
        <v>6042.325307825271</v>
      </c>
      <c r="G62" s="42">
        <f t="shared" si="2"/>
        <v>989.58657277895531</v>
      </c>
      <c r="H62" s="42">
        <f t="shared" si="2"/>
        <v>6617.2003659652546</v>
      </c>
      <c r="I62" s="42">
        <f t="shared" si="3"/>
        <v>7606.7869387442097</v>
      </c>
      <c r="J62" s="42">
        <f t="shared" si="4"/>
        <v>-3370.5672925575586</v>
      </c>
      <c r="K62" s="42"/>
      <c r="L62" s="7">
        <v>0.03</v>
      </c>
      <c r="M62" s="7">
        <v>4.9132735612432126E-3</v>
      </c>
      <c r="N62" s="8">
        <f t="shared" ref="N62:N74" si="7">Y62</f>
        <v>3.2854240853577396E-2</v>
      </c>
      <c r="O62" s="7">
        <f t="shared" si="5"/>
        <v>3.776751441482061E-2</v>
      </c>
      <c r="Q62" s="22">
        <f t="shared" ref="Q62:Q74" si="8">Q61</f>
        <v>99139.981701738332</v>
      </c>
      <c r="R62" s="22">
        <f t="shared" ref="R62:R74" si="9">IF(R61-$R$58*$R$59&lt;0,0,R61-$R$58*$R$59)</f>
        <v>311008.41720036586</v>
      </c>
      <c r="S62" s="22">
        <f t="shared" ref="S62:S74" si="10">IF(S61-$S$58*$S$59&lt;0,0,S61-$S$58*$S$59)</f>
        <v>5350.4117108874661</v>
      </c>
      <c r="T62" s="22">
        <f t="shared" ref="T62:T74" si="11">R61+S61-R62-S62</f>
        <v>7063.0680085391914</v>
      </c>
      <c r="V62" s="22">
        <f t="shared" ref="V62:V74" si="12">V61</f>
        <v>99139.981701738317</v>
      </c>
      <c r="W62" s="22">
        <f t="shared" ref="W62:W74" si="13">IF(W61-$W$58*$W$59&lt;0,0,W61-$W$58*$W$59)</f>
        <v>311008.41720036586</v>
      </c>
      <c r="X62" s="22">
        <f t="shared" ref="X62:X74" si="14">W61-W62</f>
        <v>6617.2003659652546</v>
      </c>
      <c r="Y62" s="8">
        <f t="shared" si="6"/>
        <v>3.2854240853577396E-2</v>
      </c>
    </row>
    <row r="63" spans="2:25" x14ac:dyDescent="0.25">
      <c r="B63" s="77">
        <f t="shared" si="1"/>
        <v>2029</v>
      </c>
      <c r="C63" s="77"/>
      <c r="F63" s="42">
        <f t="shared" si="2"/>
        <v>6042.325307825271</v>
      </c>
      <c r="G63" s="42">
        <f t="shared" si="2"/>
        <v>2084.7857957715473</v>
      </c>
      <c r="H63" s="42">
        <f t="shared" si="2"/>
        <v>6617.2003659652546</v>
      </c>
      <c r="I63" s="42">
        <f t="shared" si="3"/>
        <v>8701.9861617368024</v>
      </c>
      <c r="J63" s="42">
        <f t="shared" si="4"/>
        <v>-3855.8500682655767</v>
      </c>
      <c r="K63" s="42"/>
      <c r="L63" s="7">
        <v>0.03</v>
      </c>
      <c r="M63" s="7">
        <v>1.0350911393689401E-2</v>
      </c>
      <c r="N63" s="8">
        <f t="shared" si="7"/>
        <v>3.2854240853577396E-2</v>
      </c>
      <c r="O63" s="7">
        <f t="shared" si="5"/>
        <v>4.3205152247266801E-2</v>
      </c>
      <c r="Q63" s="22">
        <f t="shared" si="8"/>
        <v>99139.981701738332</v>
      </c>
      <c r="R63" s="22">
        <f t="shared" si="9"/>
        <v>304391.21683440061</v>
      </c>
      <c r="S63" s="22">
        <f t="shared" si="10"/>
        <v>4904.5440683135112</v>
      </c>
      <c r="T63" s="22">
        <f t="shared" si="11"/>
        <v>7063.0680085391923</v>
      </c>
      <c r="V63" s="22">
        <f t="shared" si="12"/>
        <v>99139.981701738317</v>
      </c>
      <c r="W63" s="22">
        <f t="shared" si="13"/>
        <v>304391.21683440061</v>
      </c>
      <c r="X63" s="22">
        <f t="shared" si="14"/>
        <v>6617.2003659652546</v>
      </c>
      <c r="Y63" s="8">
        <f t="shared" si="6"/>
        <v>3.2854240853577396E-2</v>
      </c>
    </row>
    <row r="64" spans="2:25" x14ac:dyDescent="0.25">
      <c r="B64" s="77">
        <f t="shared" si="1"/>
        <v>2030</v>
      </c>
      <c r="C64" s="77"/>
      <c r="F64" s="42">
        <f t="shared" si="2"/>
        <v>6042.325307825271</v>
      </c>
      <c r="G64" s="42">
        <f t="shared" si="2"/>
        <v>2524.8273147756722</v>
      </c>
      <c r="H64" s="42">
        <f t="shared" si="2"/>
        <v>6617.2003659652546</v>
      </c>
      <c r="I64" s="42">
        <f t="shared" si="3"/>
        <v>9142.0276807409264</v>
      </c>
      <c r="J64" s="42">
        <f t="shared" si="4"/>
        <v>-4050.8324653363038</v>
      </c>
      <c r="K64" s="42"/>
      <c r="L64" s="7">
        <v>0.03</v>
      </c>
      <c r="M64" s="7">
        <v>1.2535706964531495E-2</v>
      </c>
      <c r="N64" s="8">
        <f t="shared" si="7"/>
        <v>3.2854240853577396E-2</v>
      </c>
      <c r="O64" s="7">
        <f t="shared" si="5"/>
        <v>4.5389947818108893E-2</v>
      </c>
      <c r="Q64" s="22">
        <f t="shared" si="8"/>
        <v>99139.981701738332</v>
      </c>
      <c r="R64" s="22">
        <f t="shared" si="9"/>
        <v>297774.01646843535</v>
      </c>
      <c r="S64" s="22">
        <f t="shared" si="10"/>
        <v>4458.6764257395562</v>
      </c>
      <c r="T64" s="22">
        <f t="shared" si="11"/>
        <v>7063.0680085391932</v>
      </c>
      <c r="V64" s="22">
        <f t="shared" si="12"/>
        <v>99139.981701738317</v>
      </c>
      <c r="W64" s="22">
        <f t="shared" si="13"/>
        <v>297774.01646843535</v>
      </c>
      <c r="X64" s="22">
        <f t="shared" si="14"/>
        <v>6617.2003659652546</v>
      </c>
      <c r="Y64" s="8">
        <f t="shared" si="6"/>
        <v>3.2854240853577396E-2</v>
      </c>
    </row>
    <row r="65" spans="2:25" x14ac:dyDescent="0.25">
      <c r="B65" s="77">
        <f t="shared" si="1"/>
        <v>2031</v>
      </c>
      <c r="C65" s="77"/>
      <c r="F65" s="42">
        <f t="shared" si="2"/>
        <v>6042.325307825271</v>
      </c>
      <c r="G65" s="42">
        <f t="shared" si="2"/>
        <v>2640.3246819452547</v>
      </c>
      <c r="H65" s="42">
        <f t="shared" si="2"/>
        <v>6617.2003659652546</v>
      </c>
      <c r="I65" s="42">
        <f t="shared" si="3"/>
        <v>9257.5250479105089</v>
      </c>
      <c r="J65" s="42">
        <f t="shared" si="4"/>
        <v>-4102.009348729146</v>
      </c>
      <c r="K65" s="42"/>
      <c r="L65" s="7">
        <v>0.03</v>
      </c>
      <c r="M65" s="7">
        <v>1.3109148617962524E-2</v>
      </c>
      <c r="N65" s="8">
        <f t="shared" si="7"/>
        <v>3.2854240853577396E-2</v>
      </c>
      <c r="O65" s="7">
        <f t="shared" si="5"/>
        <v>4.5963389471539919E-2</v>
      </c>
      <c r="Q65" s="22">
        <f t="shared" si="8"/>
        <v>99139.981701738332</v>
      </c>
      <c r="R65" s="22">
        <f t="shared" si="9"/>
        <v>291156.8161024701</v>
      </c>
      <c r="S65" s="22">
        <f t="shared" si="10"/>
        <v>4012.8087831656007</v>
      </c>
      <c r="T65" s="22">
        <f t="shared" si="11"/>
        <v>7063.0680085391941</v>
      </c>
      <c r="V65" s="22">
        <f t="shared" si="12"/>
        <v>99139.981701738317</v>
      </c>
      <c r="W65" s="22">
        <f t="shared" si="13"/>
        <v>291156.8161024701</v>
      </c>
      <c r="X65" s="22">
        <f t="shared" si="14"/>
        <v>6617.2003659652546</v>
      </c>
      <c r="Y65" s="8">
        <f t="shared" si="6"/>
        <v>3.2854240853577396E-2</v>
      </c>
    </row>
    <row r="66" spans="2:25" x14ac:dyDescent="0.25">
      <c r="B66" s="77">
        <f t="shared" si="1"/>
        <v>2032</v>
      </c>
      <c r="C66" s="77"/>
      <c r="F66" s="42">
        <f t="shared" si="2"/>
        <v>6042.325307825271</v>
      </c>
      <c r="G66" s="42">
        <f t="shared" si="2"/>
        <v>2761.3700227122749</v>
      </c>
      <c r="H66" s="42">
        <f t="shared" si="2"/>
        <v>6617.2003659652546</v>
      </c>
      <c r="I66" s="42">
        <f t="shared" si="3"/>
        <v>9378.57038867753</v>
      </c>
      <c r="J66" s="42">
        <f t="shared" si="4"/>
        <v>-4155.6445392230125</v>
      </c>
      <c r="K66" s="42"/>
      <c r="L66" s="7">
        <v>0.03</v>
      </c>
      <c r="M66" s="7">
        <v>1.3710135827027174E-2</v>
      </c>
      <c r="N66" s="8">
        <f t="shared" si="7"/>
        <v>3.2854240853577396E-2</v>
      </c>
      <c r="O66" s="7">
        <f t="shared" si="5"/>
        <v>4.656437668060457E-2</v>
      </c>
      <c r="Q66" s="22">
        <f t="shared" si="8"/>
        <v>99139.981701738332</v>
      </c>
      <c r="R66" s="22">
        <f t="shared" si="9"/>
        <v>284539.61573650484</v>
      </c>
      <c r="S66" s="22">
        <f t="shared" si="10"/>
        <v>3566.9411405916453</v>
      </c>
      <c r="T66" s="22">
        <f t="shared" si="11"/>
        <v>7063.0680085391959</v>
      </c>
      <c r="V66" s="22">
        <f t="shared" si="12"/>
        <v>99139.981701738317</v>
      </c>
      <c r="W66" s="22">
        <f t="shared" si="13"/>
        <v>284539.61573650484</v>
      </c>
      <c r="X66" s="22">
        <f t="shared" si="14"/>
        <v>6617.2003659652546</v>
      </c>
      <c r="Y66" s="8">
        <f t="shared" si="6"/>
        <v>3.2854240853577396E-2</v>
      </c>
    </row>
    <row r="67" spans="2:25" x14ac:dyDescent="0.25">
      <c r="B67" s="77">
        <f t="shared" si="1"/>
        <v>2033</v>
      </c>
      <c r="C67" s="77"/>
      <c r="F67" s="42">
        <f t="shared" si="2"/>
        <v>6042.325307825271</v>
      </c>
      <c r="G67" s="42">
        <f t="shared" si="2"/>
        <v>2888.476567033425</v>
      </c>
      <c r="H67" s="42">
        <f t="shared" si="2"/>
        <v>6617.2003659652546</v>
      </c>
      <c r="I67" s="42">
        <f>G67+H67</f>
        <v>9505.6769329986801</v>
      </c>
      <c r="J67" s="42">
        <f t="shared" si="4"/>
        <v>-4211.9654490117146</v>
      </c>
      <c r="K67" s="42"/>
      <c r="L67" s="7">
        <v>0.03</v>
      </c>
      <c r="M67" s="7">
        <v>1.4341216766131218E-2</v>
      </c>
      <c r="N67" s="8">
        <f t="shared" si="7"/>
        <v>3.2854240853577396E-2</v>
      </c>
      <c r="O67" s="7">
        <f t="shared" si="5"/>
        <v>4.7195457619708614E-2</v>
      </c>
      <c r="Q67" s="22">
        <f t="shared" si="8"/>
        <v>99139.981701738332</v>
      </c>
      <c r="R67" s="22">
        <f t="shared" si="9"/>
        <v>277922.41537053959</v>
      </c>
      <c r="S67" s="22">
        <f t="shared" si="10"/>
        <v>3121.0734980176899</v>
      </c>
      <c r="T67" s="22">
        <f t="shared" si="11"/>
        <v>7063.0680085391978</v>
      </c>
      <c r="V67" s="22">
        <f t="shared" si="12"/>
        <v>99139.981701738317</v>
      </c>
      <c r="W67" s="22">
        <f t="shared" si="13"/>
        <v>277922.41537053959</v>
      </c>
      <c r="X67" s="22">
        <f t="shared" si="14"/>
        <v>6617.2003659652546</v>
      </c>
      <c r="Y67" s="8">
        <f t="shared" si="6"/>
        <v>3.2854240853577396E-2</v>
      </c>
    </row>
    <row r="68" spans="2:25" x14ac:dyDescent="0.25">
      <c r="B68" s="77">
        <f t="shared" si="1"/>
        <v>2034</v>
      </c>
      <c r="C68" s="77"/>
      <c r="F68" s="42">
        <f t="shared" si="2"/>
        <v>6042.325307825271</v>
      </c>
      <c r="G68" s="42">
        <f t="shared" si="2"/>
        <v>-1825.6112488640554</v>
      </c>
      <c r="H68" s="42">
        <f t="shared" si="2"/>
        <v>6617.2003659652546</v>
      </c>
      <c r="I68" s="42">
        <f t="shared" si="3"/>
        <v>4791.589117101199</v>
      </c>
      <c r="J68" s="42">
        <f t="shared" si="4"/>
        <v>-2123.1531377875408</v>
      </c>
      <c r="K68" s="42"/>
      <c r="L68" s="7">
        <v>0.03</v>
      </c>
      <c r="M68" s="7">
        <v>-9.0641159943825756E-3</v>
      </c>
      <c r="N68" s="8">
        <f t="shared" si="7"/>
        <v>3.2854240853577396E-2</v>
      </c>
      <c r="O68" s="7">
        <f t="shared" si="5"/>
        <v>2.3790124859194822E-2</v>
      </c>
      <c r="Q68" s="22">
        <f t="shared" si="8"/>
        <v>99139.981701738332</v>
      </c>
      <c r="R68" s="22">
        <f t="shared" si="9"/>
        <v>271305.21500457433</v>
      </c>
      <c r="S68" s="22">
        <f t="shared" si="10"/>
        <v>2675.2058554437344</v>
      </c>
      <c r="T68" s="22">
        <f t="shared" si="11"/>
        <v>7063.0680085391987</v>
      </c>
      <c r="V68" s="22">
        <f t="shared" si="12"/>
        <v>99139.981701738317</v>
      </c>
      <c r="W68" s="22">
        <f t="shared" si="13"/>
        <v>271305.21500457433</v>
      </c>
      <c r="X68" s="22">
        <f t="shared" si="14"/>
        <v>6617.2003659652546</v>
      </c>
      <c r="Y68" s="8">
        <f t="shared" si="6"/>
        <v>3.2854240853577396E-2</v>
      </c>
    </row>
    <row r="69" spans="2:25" x14ac:dyDescent="0.25">
      <c r="B69" s="77">
        <f t="shared" si="1"/>
        <v>2035</v>
      </c>
      <c r="C69" s="77"/>
      <c r="F69" s="42">
        <f t="shared" si="2"/>
        <v>6042.325307825271</v>
      </c>
      <c r="G69" s="42">
        <f t="shared" si="2"/>
        <v>4568.7473842640693</v>
      </c>
      <c r="H69" s="42">
        <f t="shared" si="2"/>
        <v>6617.2003659652546</v>
      </c>
      <c r="I69" s="42">
        <f t="shared" si="3"/>
        <v>11185.947750229323</v>
      </c>
      <c r="J69" s="42">
        <f t="shared" si="4"/>
        <v>-4956.4934481266127</v>
      </c>
      <c r="K69" s="42"/>
      <c r="L69" s="7">
        <v>0.03</v>
      </c>
      <c r="M69" s="7">
        <v>2.2683721008932737E-2</v>
      </c>
      <c r="N69" s="8">
        <f t="shared" si="7"/>
        <v>3.2854240853577396E-2</v>
      </c>
      <c r="O69" s="7">
        <f t="shared" si="5"/>
        <v>5.553796186251013E-2</v>
      </c>
      <c r="Q69" s="22">
        <f t="shared" si="8"/>
        <v>99139.981701738332</v>
      </c>
      <c r="R69" s="22">
        <f t="shared" si="9"/>
        <v>264688.01463860908</v>
      </c>
      <c r="S69" s="22">
        <f t="shared" si="10"/>
        <v>2229.338212869779</v>
      </c>
      <c r="T69" s="22">
        <f t="shared" si="11"/>
        <v>7063.0680085391996</v>
      </c>
      <c r="V69" s="22">
        <f t="shared" si="12"/>
        <v>99139.981701738317</v>
      </c>
      <c r="W69" s="22">
        <f t="shared" si="13"/>
        <v>264688.01463860908</v>
      </c>
      <c r="X69" s="22">
        <f t="shared" si="14"/>
        <v>6617.2003659652546</v>
      </c>
      <c r="Y69" s="8">
        <f t="shared" si="6"/>
        <v>3.2854240853577396E-2</v>
      </c>
    </row>
    <row r="70" spans="2:25" x14ac:dyDescent="0.25">
      <c r="B70" s="77">
        <f t="shared" si="1"/>
        <v>2036</v>
      </c>
      <c r="C70" s="77"/>
      <c r="F70" s="42">
        <f t="shared" si="2"/>
        <v>6042.325307825271</v>
      </c>
      <c r="G70" s="42">
        <f t="shared" si="2"/>
        <v>4656.264696466309</v>
      </c>
      <c r="H70" s="42">
        <f t="shared" si="2"/>
        <v>6617.2003659652255</v>
      </c>
      <c r="I70" s="42">
        <f t="shared" si="3"/>
        <v>11273.465062431535</v>
      </c>
      <c r="J70" s="42">
        <f t="shared" si="4"/>
        <v>-4995.2723691634119</v>
      </c>
      <c r="K70" s="42"/>
      <c r="L70" s="7">
        <v>0.03</v>
      </c>
      <c r="M70" s="7">
        <v>2.3118242361609156E-2</v>
      </c>
      <c r="N70" s="8">
        <f t="shared" si="7"/>
        <v>3.285424085357725E-2</v>
      </c>
      <c r="O70" s="7">
        <f t="shared" si="5"/>
        <v>5.5972483215186407E-2</v>
      </c>
      <c r="Q70" s="22">
        <f t="shared" si="8"/>
        <v>99139.981701738332</v>
      </c>
      <c r="R70" s="22">
        <f t="shared" si="9"/>
        <v>258070.81427264385</v>
      </c>
      <c r="S70" s="22">
        <f t="shared" si="10"/>
        <v>1783.4705702958236</v>
      </c>
      <c r="T70" s="22">
        <f t="shared" si="11"/>
        <v>7063.0680085391723</v>
      </c>
      <c r="V70" s="22">
        <f t="shared" si="12"/>
        <v>99139.981701738317</v>
      </c>
      <c r="W70" s="22">
        <f t="shared" si="13"/>
        <v>258070.81427264385</v>
      </c>
      <c r="X70" s="22">
        <f t="shared" si="14"/>
        <v>6617.2003659652255</v>
      </c>
      <c r="Y70" s="8">
        <f t="shared" si="6"/>
        <v>3.285424085357725E-2</v>
      </c>
    </row>
    <row r="71" spans="2:25" x14ac:dyDescent="0.25">
      <c r="B71" s="77">
        <f t="shared" si="1"/>
        <v>2037</v>
      </c>
      <c r="C71" s="77"/>
      <c r="F71" s="42">
        <f t="shared" si="2"/>
        <v>6042.325307825271</v>
      </c>
      <c r="G71" s="42">
        <f t="shared" si="2"/>
        <v>4722.6278212683264</v>
      </c>
      <c r="H71" s="42">
        <f t="shared" si="2"/>
        <v>6617.2003659652255</v>
      </c>
      <c r="I71" s="42">
        <f t="shared" si="3"/>
        <v>11339.828187233552</v>
      </c>
      <c r="J71" s="42">
        <f t="shared" si="4"/>
        <v>-5024.6778697631862</v>
      </c>
      <c r="K71" s="42"/>
      <c r="L71" s="7">
        <v>0.03</v>
      </c>
      <c r="M71" s="7">
        <v>2.3447733682025514E-2</v>
      </c>
      <c r="N71" s="8">
        <f t="shared" si="7"/>
        <v>3.285424085357725E-2</v>
      </c>
      <c r="O71" s="7">
        <f t="shared" si="5"/>
        <v>5.6301974535602761E-2</v>
      </c>
      <c r="Q71" s="22">
        <f t="shared" si="8"/>
        <v>99139.981701738332</v>
      </c>
      <c r="R71" s="22">
        <f t="shared" si="9"/>
        <v>251453.61390667863</v>
      </c>
      <c r="S71" s="22">
        <f t="shared" si="10"/>
        <v>1337.6029277218681</v>
      </c>
      <c r="T71" s="22">
        <f t="shared" si="11"/>
        <v>7063.0680085391741</v>
      </c>
      <c r="V71" s="22">
        <f t="shared" si="12"/>
        <v>99139.981701738317</v>
      </c>
      <c r="W71" s="22">
        <f t="shared" si="13"/>
        <v>251453.61390667863</v>
      </c>
      <c r="X71" s="22">
        <f t="shared" si="14"/>
        <v>6617.2003659652255</v>
      </c>
      <c r="Y71" s="8">
        <f t="shared" si="6"/>
        <v>3.285424085357725E-2</v>
      </c>
    </row>
    <row r="72" spans="2:25" x14ac:dyDescent="0.25">
      <c r="B72" s="77">
        <f t="shared" si="1"/>
        <v>2038</v>
      </c>
      <c r="C72" s="77"/>
      <c r="F72" s="42">
        <f t="shared" si="2"/>
        <v>6042.325307825271</v>
      </c>
      <c r="G72" s="42">
        <f t="shared" si="2"/>
        <v>4792.9355913714226</v>
      </c>
      <c r="H72" s="42">
        <f t="shared" si="2"/>
        <v>6617.2003659652255</v>
      </c>
      <c r="I72" s="42">
        <f t="shared" si="3"/>
        <v>11410.135957336648</v>
      </c>
      <c r="J72" s="42">
        <f t="shared" si="4"/>
        <v>-5055.8312426958682</v>
      </c>
      <c r="K72" s="42"/>
      <c r="L72" s="7">
        <v>0.03</v>
      </c>
      <c r="M72" s="7">
        <v>2.3796810071600446E-2</v>
      </c>
      <c r="N72" s="8">
        <f t="shared" si="7"/>
        <v>3.285424085357725E-2</v>
      </c>
      <c r="O72" s="7">
        <f t="shared" si="5"/>
        <v>5.6651050925177693E-2</v>
      </c>
      <c r="Q72" s="22">
        <f t="shared" si="8"/>
        <v>99139.981701738332</v>
      </c>
      <c r="R72" s="22">
        <f t="shared" si="9"/>
        <v>244836.4135407134</v>
      </c>
      <c r="S72" s="22">
        <f t="shared" si="10"/>
        <v>891.73528514791269</v>
      </c>
      <c r="T72" s="22">
        <f t="shared" si="11"/>
        <v>7063.068008539175</v>
      </c>
      <c r="V72" s="22">
        <f t="shared" si="12"/>
        <v>99139.981701738317</v>
      </c>
      <c r="W72" s="22">
        <f t="shared" si="13"/>
        <v>244836.4135407134</v>
      </c>
      <c r="X72" s="22">
        <f t="shared" si="14"/>
        <v>6617.2003659652255</v>
      </c>
      <c r="Y72" s="8">
        <f t="shared" si="6"/>
        <v>3.285424085357725E-2</v>
      </c>
    </row>
    <row r="73" spans="2:25" x14ac:dyDescent="0.25">
      <c r="B73" s="77">
        <f t="shared" si="1"/>
        <v>2039</v>
      </c>
      <c r="C73" s="77"/>
      <c r="F73" s="42">
        <f t="shared" si="2"/>
        <v>6042.325307825271</v>
      </c>
      <c r="G73" s="42">
        <f t="shared" si="2"/>
        <v>6385.6738064279753</v>
      </c>
      <c r="H73" s="42">
        <f t="shared" si="2"/>
        <v>6617.2003659652255</v>
      </c>
      <c r="I73" s="42">
        <f t="shared" si="3"/>
        <v>13002.8741723932</v>
      </c>
      <c r="J73" s="42">
        <f t="shared" si="4"/>
        <v>-5761.5735457874262</v>
      </c>
      <c r="K73" s="42"/>
      <c r="L73" s="7">
        <v>0.03</v>
      </c>
      <c r="M73" s="7">
        <v>3.1704717047382612E-2</v>
      </c>
      <c r="N73" s="8">
        <f t="shared" si="7"/>
        <v>3.285424085357725E-2</v>
      </c>
      <c r="O73" s="7">
        <f t="shared" si="5"/>
        <v>6.4558957900959862E-2</v>
      </c>
      <c r="Q73" s="22">
        <f t="shared" si="8"/>
        <v>99139.981701738332</v>
      </c>
      <c r="R73" s="22">
        <f t="shared" si="9"/>
        <v>238219.21317474818</v>
      </c>
      <c r="S73" s="22">
        <f t="shared" si="10"/>
        <v>445.86764257395731</v>
      </c>
      <c r="T73" s="22">
        <f t="shared" si="11"/>
        <v>7063.0680085391759</v>
      </c>
      <c r="V73" s="22">
        <f t="shared" si="12"/>
        <v>99139.981701738317</v>
      </c>
      <c r="W73" s="22">
        <f t="shared" si="13"/>
        <v>238219.21317474818</v>
      </c>
      <c r="X73" s="22">
        <f t="shared" si="14"/>
        <v>6617.2003659652255</v>
      </c>
      <c r="Y73" s="8">
        <f t="shared" si="6"/>
        <v>3.285424085357725E-2</v>
      </c>
    </row>
    <row r="74" spans="2:25" x14ac:dyDescent="0.25">
      <c r="B74" s="77">
        <f t="shared" si="1"/>
        <v>2040</v>
      </c>
      <c r="C74" s="77"/>
      <c r="F74" s="42">
        <f t="shared" si="2"/>
        <v>6042.325307825271</v>
      </c>
      <c r="G74" s="42">
        <f t="shared" si="2"/>
        <v>6464.1600604788682</v>
      </c>
      <c r="H74" s="42">
        <f t="shared" si="2"/>
        <v>6617.2003659652255</v>
      </c>
      <c r="I74" s="42">
        <f t="shared" si="3"/>
        <v>13081.360426444095</v>
      </c>
      <c r="J74" s="42">
        <f t="shared" si="4"/>
        <v>-5796.3508049573775</v>
      </c>
      <c r="K74" s="42"/>
      <c r="L74" s="7">
        <v>0.03</v>
      </c>
      <c r="M74" s="7">
        <v>3.2094399413288566E-2</v>
      </c>
      <c r="N74" s="8">
        <f t="shared" si="7"/>
        <v>3.285424085357725E-2</v>
      </c>
      <c r="O74" s="7">
        <f t="shared" si="5"/>
        <v>6.4948640266865809E-2</v>
      </c>
      <c r="Q74" s="22">
        <f t="shared" si="8"/>
        <v>99139.981701738332</v>
      </c>
      <c r="R74" s="22">
        <f t="shared" si="9"/>
        <v>231602.01280878295</v>
      </c>
      <c r="S74" s="22">
        <f t="shared" si="10"/>
        <v>1.9326762412674725E-12</v>
      </c>
      <c r="T74" s="22">
        <f t="shared" si="11"/>
        <v>7063.0680085391778</v>
      </c>
      <c r="V74" s="22">
        <f t="shared" si="12"/>
        <v>99139.981701738317</v>
      </c>
      <c r="W74" s="22">
        <f t="shared" si="13"/>
        <v>231602.01280878295</v>
      </c>
      <c r="X74" s="22">
        <f t="shared" si="14"/>
        <v>6617.2003659652255</v>
      </c>
      <c r="Y74" s="8">
        <f t="shared" si="6"/>
        <v>3.285424085357725E-2</v>
      </c>
    </row>
    <row r="75" spans="2:25" x14ac:dyDescent="0.25">
      <c r="C75" s="15" t="s">
        <v>74</v>
      </c>
      <c r="D75" s="43">
        <f>SUM(D59:D74)</f>
        <v>-211481.38577388448</v>
      </c>
      <c r="E75" s="43">
        <f>SUM(E59:E74)</f>
        <v>190532.99999999994</v>
      </c>
      <c r="F75" s="43">
        <f>SUM(F59:F74)</f>
        <v>90634.879617379091</v>
      </c>
      <c r="G75" s="44">
        <f t="shared" ref="G75:I75" si="15">SUM(G59:G74)</f>
        <v>44092.173695789039</v>
      </c>
      <c r="H75" s="44">
        <f t="shared" si="15"/>
        <v>99258.005489478674</v>
      </c>
      <c r="I75" s="44">
        <f t="shared" si="15"/>
        <v>143350.17918526771</v>
      </c>
      <c r="J75" s="43">
        <f>SUM(J59:J74)</f>
        <v>-63518.464396992109</v>
      </c>
    </row>
    <row r="76" spans="2:25" ht="17.25" x14ac:dyDescent="0.25">
      <c r="B76" s="78" t="s">
        <v>75</v>
      </c>
      <c r="C76" s="77"/>
      <c r="D76" t="s">
        <v>76</v>
      </c>
      <c r="F76" s="42">
        <f>P81*1000</f>
        <v>264010.02520555042</v>
      </c>
      <c r="G76" s="42"/>
      <c r="H76" s="42">
        <f>P85*1000</f>
        <v>441613.66315414297</v>
      </c>
      <c r="I76" s="42">
        <f t="shared" ref="I76" si="16">G76+H76</f>
        <v>441613.66315414297</v>
      </c>
      <c r="J76" s="42">
        <f>-I76*($J$25*1.055)</f>
        <v>-195679.01414360071</v>
      </c>
      <c r="K76" s="42"/>
      <c r="L76" t="s">
        <v>77</v>
      </c>
      <c r="M76" t="s">
        <v>78</v>
      </c>
      <c r="P76" t="s">
        <v>79</v>
      </c>
    </row>
    <row r="77" spans="2:25" x14ac:dyDescent="0.25">
      <c r="C77" s="15" t="s">
        <v>74</v>
      </c>
      <c r="D77" s="43">
        <f t="shared" ref="D77:J77" si="17">SUM(D75:D76)</f>
        <v>-211481.38577388448</v>
      </c>
      <c r="E77" s="43">
        <f t="shared" si="17"/>
        <v>190532.99999999994</v>
      </c>
      <c r="F77" s="43">
        <f t="shared" si="17"/>
        <v>354644.90482292953</v>
      </c>
      <c r="G77" s="44">
        <f t="shared" si="17"/>
        <v>44092.173695789039</v>
      </c>
      <c r="H77" s="44">
        <f t="shared" si="17"/>
        <v>540871.66864362161</v>
      </c>
      <c r="I77" s="44">
        <f t="shared" si="17"/>
        <v>584963.84233941068</v>
      </c>
      <c r="J77" s="43">
        <f t="shared" si="17"/>
        <v>-259197.47854059283</v>
      </c>
      <c r="L77" s="29">
        <v>17</v>
      </c>
      <c r="M77" s="45">
        <v>1257.5212929765851</v>
      </c>
      <c r="N77" t="s">
        <v>80</v>
      </c>
      <c r="O77" s="42">
        <f>L77*M77</f>
        <v>21377.861980601945</v>
      </c>
      <c r="P77" s="22">
        <f>O77*S54</f>
        <v>441.61366315414296</v>
      </c>
    </row>
    <row r="78" spans="2:25" x14ac:dyDescent="0.25">
      <c r="F78" s="42"/>
      <c r="H78" s="42"/>
      <c r="N78" t="s">
        <v>81</v>
      </c>
      <c r="O78" s="29">
        <v>865.19556270243424</v>
      </c>
      <c r="P78" s="22">
        <f>O78*$S$54</f>
        <v>17.872796734136905</v>
      </c>
    </row>
    <row r="79" spans="2:25" x14ac:dyDescent="0.25">
      <c r="I79" s="46" t="s">
        <v>102</v>
      </c>
      <c r="J79" s="43">
        <f>D77+E77+F77+J77</f>
        <v>74499.040508452163</v>
      </c>
      <c r="N79" t="s">
        <v>91</v>
      </c>
      <c r="O79" s="29">
        <v>-625.43767257682259</v>
      </c>
      <c r="P79" s="22">
        <f>O79*$S$54</f>
        <v>-12.919992743515456</v>
      </c>
    </row>
    <row r="80" spans="2:25" x14ac:dyDescent="0.25">
      <c r="N80" t="s">
        <v>82</v>
      </c>
      <c r="O80" s="29">
        <v>-8837.286399999999</v>
      </c>
      <c r="P80" s="22">
        <f>O80*S54</f>
        <v>-182.55644193921395</v>
      </c>
    </row>
    <row r="81" spans="3:16" ht="15.75" thickBot="1" x14ac:dyDescent="0.3">
      <c r="C81" s="73" t="s">
        <v>84</v>
      </c>
      <c r="D81" s="74"/>
      <c r="E81" s="74"/>
      <c r="F81" s="74"/>
      <c r="G81" s="74"/>
      <c r="H81" s="74"/>
      <c r="I81" s="74"/>
      <c r="J81" s="74"/>
      <c r="K81" s="47"/>
      <c r="N81" s="48" t="s">
        <v>83</v>
      </c>
      <c r="O81" s="49">
        <f>O77+O78+O80+O79</f>
        <v>12780.333470727555</v>
      </c>
      <c r="P81" s="49">
        <f>P77+P78+P80+P79</f>
        <v>264.01002520555045</v>
      </c>
    </row>
    <row r="82" spans="3:16" ht="15.75" thickTop="1" x14ac:dyDescent="0.25">
      <c r="C82" s="75"/>
      <c r="D82" s="75"/>
      <c r="E82" s="75"/>
      <c r="F82" s="75"/>
      <c r="G82" s="75"/>
      <c r="H82" s="75"/>
      <c r="I82" s="75"/>
      <c r="J82" s="75"/>
      <c r="K82" s="50"/>
      <c r="N82" t="s">
        <v>85</v>
      </c>
      <c r="O82" s="42"/>
      <c r="P82" s="22">
        <f>(Q74-V74)/1000</f>
        <v>1.4551915228366852E-14</v>
      </c>
    </row>
    <row r="83" spans="3:16" x14ac:dyDescent="0.25">
      <c r="C83" s="75"/>
      <c r="D83" s="75"/>
      <c r="E83" s="75"/>
      <c r="F83" s="75"/>
      <c r="G83" s="75"/>
      <c r="H83" s="75"/>
      <c r="I83" s="75"/>
      <c r="J83" s="75"/>
      <c r="K83" s="50"/>
      <c r="N83" t="s">
        <v>86</v>
      </c>
      <c r="O83" s="42"/>
      <c r="P83" s="22">
        <f>(R74-W74)/1000</f>
        <v>0</v>
      </c>
    </row>
    <row r="84" spans="3:16" x14ac:dyDescent="0.25">
      <c r="C84" s="73" t="s">
        <v>88</v>
      </c>
      <c r="D84" s="74"/>
      <c r="E84" s="74"/>
      <c r="F84" s="74"/>
      <c r="G84" s="74"/>
      <c r="H84" s="74"/>
      <c r="I84" s="74"/>
      <c r="J84" s="74"/>
      <c r="K84" s="50"/>
      <c r="N84" t="s">
        <v>87</v>
      </c>
      <c r="O84" s="42"/>
      <c r="P84" s="22">
        <f>(S74/1000)</f>
        <v>1.9326762412674726E-15</v>
      </c>
    </row>
    <row r="85" spans="3:16" ht="15.75" thickBot="1" x14ac:dyDescent="0.3">
      <c r="C85" s="75"/>
      <c r="D85" s="75"/>
      <c r="E85" s="75"/>
      <c r="F85" s="75"/>
      <c r="G85" s="75"/>
      <c r="H85" s="75"/>
      <c r="I85" s="75"/>
      <c r="J85" s="75"/>
      <c r="K85" s="50"/>
      <c r="N85" s="48" t="s">
        <v>89</v>
      </c>
      <c r="O85" s="49"/>
      <c r="P85" s="49">
        <f>P77-SUM(P82:P84)</f>
        <v>441.61366315414296</v>
      </c>
    </row>
    <row r="86" spans="3:16" ht="15.75" thickTop="1" x14ac:dyDescent="0.25">
      <c r="C86" s="75"/>
      <c r="D86" s="75"/>
      <c r="E86" s="75"/>
      <c r="F86" s="75"/>
      <c r="G86" s="75"/>
      <c r="H86" s="75"/>
      <c r="I86" s="75"/>
      <c r="J86" s="75"/>
      <c r="K86" s="50"/>
    </row>
    <row r="87" spans="3:16" x14ac:dyDescent="0.25">
      <c r="C87" s="76"/>
      <c r="D87" s="76"/>
      <c r="E87" s="76"/>
      <c r="F87" s="76"/>
      <c r="G87" s="76"/>
      <c r="H87" s="76"/>
      <c r="I87" s="76"/>
      <c r="J87" s="76"/>
      <c r="K87" s="50"/>
    </row>
    <row r="88" spans="3:16" x14ac:dyDescent="0.25">
      <c r="C88" s="76"/>
      <c r="D88" s="76"/>
      <c r="E88" s="76"/>
      <c r="F88" s="76"/>
      <c r="G88" s="76"/>
      <c r="H88" s="76"/>
      <c r="I88" s="76"/>
      <c r="J88" s="76"/>
    </row>
    <row r="89" spans="3:16" ht="56.25" customHeight="1" x14ac:dyDescent="0.25">
      <c r="C89" s="76"/>
      <c r="D89" s="76"/>
      <c r="E89" s="76"/>
      <c r="F89" s="76"/>
      <c r="G89" s="76"/>
      <c r="H89" s="76"/>
      <c r="I89" s="76"/>
      <c r="J89" s="76"/>
    </row>
  </sheetData>
  <sheetProtection algorithmName="SHA-512" hashValue="b4/2a7B8sT37s8/MUmEOO2gH6OVrNqliT97lS2WSW2iHuS8wXjfJuhizb5uRYhD+uaZLE2zefjJToLnCt57OXw==" saltValue="yuX/wxEgc76e8YD2mfmwwg==" spinCount="100000" sheet="1" objects="1" scenarios="1"/>
  <mergeCells count="24">
    <mergeCell ref="B65:C65"/>
    <mergeCell ref="B3:I3"/>
    <mergeCell ref="B5:J5"/>
    <mergeCell ref="B52:J52"/>
    <mergeCell ref="B54:C54"/>
    <mergeCell ref="B58:C58"/>
    <mergeCell ref="B59:C59"/>
    <mergeCell ref="B60:C60"/>
    <mergeCell ref="B61:C61"/>
    <mergeCell ref="B62:C62"/>
    <mergeCell ref="B63:C63"/>
    <mergeCell ref="B64:C64"/>
    <mergeCell ref="C84:J89"/>
    <mergeCell ref="B66:C66"/>
    <mergeCell ref="B67:C67"/>
    <mergeCell ref="B68:C68"/>
    <mergeCell ref="B69:C69"/>
    <mergeCell ref="B70:C70"/>
    <mergeCell ref="B71:C71"/>
    <mergeCell ref="B72:C72"/>
    <mergeCell ref="B73:C73"/>
    <mergeCell ref="B74:C74"/>
    <mergeCell ref="B76:C76"/>
    <mergeCell ref="C81:J83"/>
  </mergeCells>
  <pageMargins left="0.70866141732283472" right="0.31496062992125984" top="0.39370078740157483" bottom="0"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05BF-54F9-420C-9368-214A6D15E650}">
  <dimension ref="A1:J26"/>
  <sheetViews>
    <sheetView workbookViewId="0">
      <selection activeCell="F20" sqref="F20"/>
    </sheetView>
    <sheetView tabSelected="1" workbookViewId="1">
      <selection activeCell="I9" sqref="I9"/>
    </sheetView>
  </sheetViews>
  <sheetFormatPr baseColWidth="10" defaultRowHeight="15" x14ac:dyDescent="0.25"/>
  <cols>
    <col min="2" max="2" width="16.140625" customWidth="1"/>
    <col min="3" max="3" width="19.42578125" customWidth="1"/>
    <col min="4" max="4" width="11.42578125" customWidth="1"/>
    <col min="5" max="5" width="22.42578125" customWidth="1"/>
    <col min="6" max="6" width="13.5703125" customWidth="1"/>
    <col min="7" max="7" width="3.7109375" customWidth="1"/>
    <col min="8" max="8" width="26.7109375" customWidth="1"/>
    <col min="9" max="9" width="19.7109375" customWidth="1"/>
  </cols>
  <sheetData>
    <row r="1" spans="1:10" x14ac:dyDescent="0.25">
      <c r="A1" s="51"/>
      <c r="B1" s="52"/>
      <c r="C1" s="52"/>
      <c r="D1" s="52"/>
      <c r="E1" s="52"/>
      <c r="F1" s="52"/>
      <c r="G1" s="52"/>
      <c r="H1" s="52"/>
      <c r="I1" s="52"/>
      <c r="J1" s="53"/>
    </row>
    <row r="2" spans="1:10" ht="30" x14ac:dyDescent="0.25">
      <c r="A2" s="51"/>
      <c r="B2" s="52"/>
      <c r="C2" s="52"/>
      <c r="D2" s="52"/>
      <c r="E2" s="54" t="s">
        <v>92</v>
      </c>
      <c r="F2" s="55">
        <f>'PWF184'!J13</f>
        <v>430000</v>
      </c>
      <c r="G2" s="56"/>
      <c r="H2" s="56"/>
      <c r="I2" s="52"/>
      <c r="J2" s="53"/>
    </row>
    <row r="3" spans="1:10" x14ac:dyDescent="0.25">
      <c r="A3" s="51"/>
      <c r="B3" s="52"/>
      <c r="C3" s="52"/>
      <c r="D3" s="52"/>
      <c r="E3" s="51" t="s">
        <v>93</v>
      </c>
      <c r="F3" s="57">
        <f>'PWF184'!J25</f>
        <v>0.42</v>
      </c>
      <c r="G3" s="58"/>
      <c r="H3" s="58"/>
      <c r="I3" s="52"/>
      <c r="J3" s="53"/>
    </row>
    <row r="4" spans="1:10" x14ac:dyDescent="0.25">
      <c r="A4" s="51"/>
      <c r="B4" s="52"/>
      <c r="C4" s="52"/>
      <c r="D4" s="52"/>
      <c r="E4" s="59" t="s">
        <v>94</v>
      </c>
      <c r="F4" s="60">
        <v>5.5E-2</v>
      </c>
      <c r="G4" s="58"/>
      <c r="H4" s="58"/>
      <c r="I4" s="52"/>
      <c r="J4" s="53"/>
    </row>
    <row r="5" spans="1:10" ht="19.5" customHeight="1" x14ac:dyDescent="0.25">
      <c r="A5" s="51"/>
      <c r="B5" s="52"/>
      <c r="C5" s="52"/>
      <c r="D5" s="52"/>
      <c r="E5" s="52"/>
      <c r="F5" s="58"/>
      <c r="G5" s="58"/>
      <c r="H5" s="58"/>
      <c r="I5" s="52"/>
      <c r="J5" s="53"/>
    </row>
    <row r="6" spans="1:10" ht="33" customHeight="1" x14ac:dyDescent="0.25">
      <c r="A6" s="51"/>
      <c r="B6" s="52"/>
      <c r="C6" s="61" t="s">
        <v>95</v>
      </c>
      <c r="D6" s="52"/>
      <c r="E6" s="52"/>
      <c r="F6" s="52"/>
      <c r="G6" s="52"/>
      <c r="H6" s="52"/>
      <c r="I6" s="61" t="s">
        <v>96</v>
      </c>
      <c r="J6" s="53"/>
    </row>
    <row r="7" spans="1:10" x14ac:dyDescent="0.25">
      <c r="A7" s="51"/>
      <c r="B7" s="52"/>
      <c r="C7" s="62"/>
      <c r="D7" s="52"/>
      <c r="E7" s="52"/>
      <c r="F7" s="52"/>
      <c r="G7" s="52"/>
      <c r="H7" s="52"/>
      <c r="I7" s="62"/>
      <c r="J7" s="53"/>
    </row>
    <row r="8" spans="1:10" x14ac:dyDescent="0.25">
      <c r="A8" s="51"/>
      <c r="B8" s="52" t="s">
        <v>97</v>
      </c>
      <c r="C8" s="63">
        <f>(F3+(F3*F4))*F2</f>
        <v>190533</v>
      </c>
      <c r="D8" s="63"/>
      <c r="E8" s="52"/>
      <c r="F8" s="52"/>
      <c r="G8" s="52"/>
      <c r="H8" s="52" t="s">
        <v>98</v>
      </c>
      <c r="I8" s="63">
        <f>'PWF184'!J22</f>
        <v>211481.38577388448</v>
      </c>
      <c r="J8" s="53"/>
    </row>
    <row r="9" spans="1:10" x14ac:dyDescent="0.25">
      <c r="A9" s="51"/>
      <c r="B9" s="52"/>
      <c r="C9" s="52"/>
      <c r="D9" s="52"/>
      <c r="E9" s="52"/>
      <c r="F9" s="52"/>
      <c r="G9" s="52"/>
      <c r="H9" s="52"/>
      <c r="I9" s="52"/>
      <c r="J9" s="53"/>
    </row>
    <row r="10" spans="1:10" x14ac:dyDescent="0.25">
      <c r="A10" s="51"/>
      <c r="B10" s="64" t="s">
        <v>99</v>
      </c>
      <c r="C10" s="65">
        <f>F2-C8</f>
        <v>239467</v>
      </c>
      <c r="D10" s="52"/>
      <c r="E10" s="52"/>
      <c r="G10" s="66"/>
      <c r="H10" s="66" t="s">
        <v>100</v>
      </c>
      <c r="I10" s="56">
        <f>F2-I8</f>
        <v>218518.61422611552</v>
      </c>
      <c r="J10" s="53"/>
    </row>
    <row r="11" spans="1:10" x14ac:dyDescent="0.25">
      <c r="A11" s="51"/>
      <c r="B11" s="52"/>
      <c r="C11" s="52"/>
      <c r="D11" s="66"/>
      <c r="E11" s="52"/>
      <c r="F11" s="52"/>
      <c r="G11" s="52"/>
      <c r="H11" s="52"/>
      <c r="I11" s="52"/>
      <c r="J11" s="53"/>
    </row>
    <row r="12" spans="1:10" x14ac:dyDescent="0.25">
      <c r="A12" s="51"/>
      <c r="B12" s="52"/>
      <c r="C12" s="52"/>
      <c r="D12" s="56"/>
      <c r="E12" s="52"/>
      <c r="F12" s="52"/>
      <c r="G12" s="52"/>
      <c r="H12" s="52" t="s">
        <v>103</v>
      </c>
      <c r="I12" s="63">
        <f>'PWF184'!F77</f>
        <v>354644.90482292953</v>
      </c>
      <c r="J12" s="53"/>
    </row>
    <row r="13" spans="1:10" x14ac:dyDescent="0.25">
      <c r="A13" s="51"/>
      <c r="B13" s="52"/>
      <c r="C13" s="52"/>
      <c r="D13" s="52"/>
      <c r="E13" s="52"/>
      <c r="F13" s="52"/>
      <c r="G13" s="52"/>
      <c r="H13" s="52"/>
      <c r="I13" s="52"/>
      <c r="J13" s="53"/>
    </row>
    <row r="14" spans="1:10" x14ac:dyDescent="0.25">
      <c r="A14" s="51"/>
      <c r="B14" s="52"/>
      <c r="C14" s="52"/>
      <c r="D14" s="52"/>
      <c r="E14" s="52"/>
      <c r="G14" s="66"/>
      <c r="H14" s="66" t="s">
        <v>100</v>
      </c>
      <c r="I14" s="56">
        <f>I10+I12</f>
        <v>573163.51904904505</v>
      </c>
      <c r="J14" s="53"/>
    </row>
    <row r="15" spans="1:10" x14ac:dyDescent="0.25">
      <c r="A15" s="51"/>
      <c r="B15" s="52"/>
      <c r="C15" s="52"/>
      <c r="D15" s="52"/>
      <c r="E15" s="52"/>
      <c r="F15" s="52"/>
      <c r="G15" s="52"/>
      <c r="H15" s="52"/>
      <c r="I15" s="52"/>
      <c r="J15" s="53"/>
    </row>
    <row r="16" spans="1:10" x14ac:dyDescent="0.25">
      <c r="A16" s="51"/>
      <c r="B16" s="52"/>
      <c r="C16" s="52"/>
      <c r="D16" s="52"/>
      <c r="E16" s="52"/>
      <c r="F16" s="52"/>
      <c r="G16" s="52"/>
      <c r="H16" s="52" t="s">
        <v>104</v>
      </c>
      <c r="I16" s="63">
        <f>'PWF184'!J77</f>
        <v>-259197.47854059283</v>
      </c>
      <c r="J16" s="53"/>
    </row>
    <row r="17" spans="1:10" x14ac:dyDescent="0.25">
      <c r="A17" s="51"/>
      <c r="B17" s="52"/>
      <c r="C17" s="52"/>
      <c r="D17" s="52"/>
      <c r="E17" s="52"/>
      <c r="F17" s="52"/>
      <c r="G17" s="52"/>
      <c r="H17" s="52"/>
      <c r="I17" s="52"/>
      <c r="J17" s="53"/>
    </row>
    <row r="18" spans="1:10" x14ac:dyDescent="0.25">
      <c r="A18" s="51"/>
      <c r="B18" s="52"/>
      <c r="C18" s="52"/>
      <c r="D18" s="52"/>
      <c r="E18" s="52"/>
      <c r="G18" s="66"/>
      <c r="H18" s="64" t="s">
        <v>99</v>
      </c>
      <c r="I18" s="65">
        <f>I14+I16</f>
        <v>313966.04050845222</v>
      </c>
      <c r="J18" s="53"/>
    </row>
    <row r="19" spans="1:10" x14ac:dyDescent="0.25">
      <c r="A19" s="51"/>
      <c r="B19" s="52"/>
      <c r="C19" s="52"/>
      <c r="D19" s="52"/>
      <c r="E19" s="52"/>
      <c r="F19" s="52"/>
      <c r="G19" s="52"/>
      <c r="H19" s="52"/>
      <c r="I19" s="52"/>
      <c r="J19" s="67"/>
    </row>
    <row r="20" spans="1:10" x14ac:dyDescent="0.25">
      <c r="A20" s="51"/>
      <c r="B20" s="52"/>
      <c r="C20" s="52"/>
      <c r="E20" s="71" t="s">
        <v>101</v>
      </c>
      <c r="F20" s="72">
        <f>I18-C10</f>
        <v>74499.040508452221</v>
      </c>
      <c r="G20" s="56"/>
      <c r="H20" s="52"/>
      <c r="I20" s="52"/>
      <c r="J20" s="53"/>
    </row>
    <row r="21" spans="1:10" x14ac:dyDescent="0.25">
      <c r="A21" s="59"/>
      <c r="B21" s="68"/>
      <c r="C21" s="68"/>
      <c r="D21" s="68"/>
      <c r="E21" s="68"/>
      <c r="F21" s="68"/>
      <c r="G21" s="68"/>
      <c r="H21" s="68"/>
      <c r="I21" s="68"/>
      <c r="J21" s="69"/>
    </row>
    <row r="26" spans="1:10" x14ac:dyDescent="0.25">
      <c r="I26" s="70"/>
    </row>
  </sheetData>
  <sheetProtection algorithmName="SHA-512" hashValue="aEBNEPbqyTOXOu8tIa5K5oxnkqH25vttzvvlsiNSaa+QwjyFE5iia9ZcM3BXxjlACuqt1uXfQWC0luVdDlu/ow==" saltValue="oC2JGLPCG6llugAYKDq0bw==" spinCount="100000"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PWF184</vt:lpstr>
      <vt:lpstr>Szenarioanalyse</vt:lpstr>
      <vt:lpstr>'PWF184'!Druckbereich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Hahn Pluswertfonds 184 - Fachmarktzentrum Korschenbroich</dc:title>
  <dc:creator>Hahn Gruppe</dc:creator>
  <cp:lastModifiedBy>Christodoulidis, Paschalis PCH</cp:lastModifiedBy>
  <dcterms:created xsi:type="dcterms:W3CDTF">2025-09-16T15:39:12Z</dcterms:created>
  <dcterms:modified xsi:type="dcterms:W3CDTF">2025-10-10T08:20:22Z</dcterms:modified>
</cp:coreProperties>
</file>